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GDALENA PALACIO\Desktop\"/>
    </mc:Choice>
  </mc:AlternateContent>
  <bookViews>
    <workbookView xWindow="-120" yWindow="-120" windowWidth="20730" windowHeight="11160" firstSheet="1" activeTab="3"/>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52511"/>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<sst xmlns="http://schemas.openxmlformats.org/spreadsheetml/2006/main" count="514" uniqueCount="243">
  <si>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</si>
  <si>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</si>
  <si>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</si>
  <si>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</si>
  <si>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</si>
  <si>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</si>
  <si>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</si>
  <si>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</si>
  <si>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</si>
  <si>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</si>
  <si>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</si>
  <si>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</si>
  <si>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</si>
  <si>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</si>
  <si>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</si>
  <si>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</si>
  <si>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</si>
  <si>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</si>
  <si>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</si>
  <si>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</si>
  <si>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</si>
  <si>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</si>
  <si>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</si>
  <si>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</si>
  <si>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</si>
  <si>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</si>
  <si>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</si>
  <si>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</si>
  <si>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</si>
  <si>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</si>
  <si>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</si>
  <si>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</si>
  <si>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</si>
  <si>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</si>
  <si>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</si>
  <si>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</si>
  <si>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</si>
  <si>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</si>
  <si>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</si>
  <si>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</si>
  <si>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</si>
  <si>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</si>
  <si>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</si>
  <si>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</si>
  <si>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</si>
  <si>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</si>
  <si>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</si>
  <si>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</si>
  <si>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</si>
  <si>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</si>
  <si>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</si>
  <si>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</si>
  <si>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</si>
  <si>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</si>
  <si>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</si>
  <si>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</si>
  <si>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</si>
  <si>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</si>
  <si>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</si>
  <si>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</si>
  <si>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</si>
  <si>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</si>
  <si>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</si>
  <si>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</si>
  <si>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</si>
  <si>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</si>
  <si>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</si>
  <si>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</si>
  <si>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</si>
  <si>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</si>
  <si>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</si>
  <si>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</si>
  <si>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</si>
  <si>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</si>
  <si>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</si>
  <si>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</si>
  <si>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</si>
  <si>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</si>
  <si>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</si>
  <si>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</si>
  <si>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</si>
  <si>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</si>
  <si>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</si>
  <si>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</si>
  <si>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</si>
  <si>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</si>
  <si>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</si>
  <si>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</si>
  <si>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</si>
  <si>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</si>
  <si>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</si>
  <si>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</si>
  <si>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</si>
  <si>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</si>
  <si>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</si>
  <si>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</si>
  <si>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</si>
  <si>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</si>
  <si>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</si>
  <si>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</si>
  <si>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</si>
  <si>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</si>
  <si>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</si>
  <si>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</si>
  <si>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</si>
  <si>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</si>
  <si>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</si>
  <si>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</si>
  <si>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</si>
  <si>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</si>
  <si>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</si>
  <si>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</si>
  <si>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</si>
  <si>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</si>
  <si>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</si>
  <si>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</si>
  <si>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</si>
  <si>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</si>
  <si>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</si>
  <si>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</si>
  <si>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</si>
  <si>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</si>
  <si>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</si>
  <si>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</si>
  <si>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</si>
  <si>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</si>
  <si>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</si>
  <si>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</si>
  <si>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</si>
  <si>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</si>
  <si>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</si>
  <si>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</si>
  <si>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</si>
  <si>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</si>
  <si>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</si>
  <si>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</si>
  <si>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</si>
  <si>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</si>
  <si>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</si>
  <si>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</si>
  <si>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</si>
  <si>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</si>
  <si>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</si>
  <si>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</si>
  <si>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</si>
  <si>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</si>
  <si>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</si>
  <si>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</si>
  <si>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</si>
  <si>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</si>
  <si>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</si>
  <si>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</si>
  <si>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</si>
  <si>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</si>
  <si>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</si>
  <si>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</si>
  <si>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</si>
  <si>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</si>
  <si>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</si>
  <si>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</si>
  <si>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</si>
  <si>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</si>
  <si>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</si>
  <si>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</si>
  <si>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</si>
  <si>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</si>
  <si>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</si>
  <si>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</si>
  <si>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</si>
  <si>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</si>
  <si>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</si>
  <si>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</si>
  <si>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</si>
  <si>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</si>
  <si>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</si>
  <si>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</si>
  <si>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</si>
  <si>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</si>
  <si>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</si>
  <si>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</si>
  <si>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</si>
  <si>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</si>
  <si>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</si>
  <si>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</si>
  <si>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</si>
  <si>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</si>
  <si>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</si>
  <si>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</si>
  <si>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</si>
  <si>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</si>
  <si>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</si>
  <si>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EMPRESA SOCIAL DEL ESTADO HOSPITAL SAN SEBASTIAN DE IURABA</t>
  </si>
  <si>
    <t>informes a entes de control</t>
  </si>
  <si>
    <t>EL DOCUMENTO ESTA EN PROCESO DE CONSTRUCCION</t>
  </si>
  <si>
    <t>EXISTE RSLN DE ADOPCION</t>
  </si>
  <si>
    <t>LOS PLANES ESTAN CONSTRUIDOS PARA 2020</t>
  </si>
  <si>
    <t>EXISTE UNA ESTRUCTURA ORGANIZATIVA APROBADA POR JUNTA DIRECTIA</t>
  </si>
  <si>
    <t>EXISTE MANUAL DE FUNCIONES DE LA ENTIDAD</t>
  </si>
  <si>
    <t>LOS DOCUMENTOS ESTAN LISTOS Y ARCHIVADOS</t>
  </si>
  <si>
    <t>SEV REALIZA ANALISIS DE HOJAS DE VIDA PERIODICAMENTE.</t>
  </si>
  <si>
    <t>SE HAN REALIZADOS VARIOS PROCESOS PARA ELLO</t>
  </si>
  <si>
    <t>LA EVALUACION A LOS SERVIDORES ES REALIZADA DENTRO DE LOS TERMINOS LEGALES</t>
  </si>
  <si>
    <t>EN ESTA PARTE SE DEBE ESTABLECER EL PROCESO</t>
  </si>
  <si>
    <t>EXISTEN Y SON UILIZADOS PARA LA RENDICION DE CUENTAS</t>
  </si>
  <si>
    <t>DADO QUE ES UNA ENTIDAD DE SALUD ES PRIORITARIO LA PRESENTACION CONSTANTE DE INFORMES.</t>
  </si>
  <si>
    <t>DE IDENTIFICARSE CAMBIOS SON INFORMADOS PARA MITIGAR SU IMPACTO.</t>
  </si>
  <si>
    <t>EN LOS COMITES  SE ESTUDIAN ESTOS CASOS Y SE DEFINEN ACCIONES.</t>
  </si>
  <si>
    <t>SE VA A REDEFINIR EL MANUAL DE EVALUACION DEL RIESGO Y ALLI SE DEFINIRA.</t>
  </si>
  <si>
    <t>EXISTE PLAN SEGURIDAD DIGITAL Y SE ACTUALIZARA.</t>
  </si>
  <si>
    <t>CADA JEFE DE AREA OPORTUNAMENTE HACE SUS SEGUIMIENTOS Y SE ESTABLECE ACCIONES.</t>
  </si>
  <si>
    <t>EN CIERTOS CASOS QUE SON DETECTADOS LOS RIESGOS SE IDENTIFCAN Y SE PROPONEN AJUSTES</t>
  </si>
  <si>
    <t>ESTABLECIDOS CRONOGRAMA REUNIONES DE COMITES.</t>
  </si>
  <si>
    <t>LAS DECSIONES SON DE LA ALTA GERENCIA CON SUGERENCIAS DE CADA LIDER</t>
  </si>
  <si>
    <t>LAS ACCIONES SE TOMAN ACORDE CON LAS NECESIDADES Y LOS RECURSOS DISPONIBLES.</t>
  </si>
  <si>
    <t>IDENTIFICADO EL PROBLEMA DE DEFINEN ACCIONES DE TRATAMIENTO AL PROBLEMA.</t>
  </si>
  <si>
    <t>EXISTE CRONOGRAMA Y MECANISMOS QUE SE DEBEN ACTUALIZAR.</t>
  </si>
  <si>
    <t>CADA AREA TIENE SU PLAN DE ACCION O ESTRATEGIA PARA MITIGAR MATERIALIZACION DE RIESGOS.</t>
  </si>
  <si>
    <t>EXISTE PLAN ANTICORRUPCION 2020.</t>
  </si>
  <si>
    <t>SE TIENE PERSONAL PROVISIONAL</t>
  </si>
  <si>
    <t>PAGINA WEB,EMISORA LOCAL, BUZONES Y OFICINA COMUNICACIONES TRABAJADORA SOCIAL.</t>
  </si>
  <si>
    <t>SE DEFINEN ACORDE A LA NORMA</t>
  </si>
  <si>
    <t>SE LLEVA CRONOGRAMA DE INFORMES A LOS DIFERENTES ENTES.</t>
  </si>
  <si>
    <t>DOCUMENTOS EN PAGINA WEB DE LA ENTIDAD</t>
  </si>
  <si>
    <t>SE CUENTA CON CAPACIDAD TECNOLOGICA.</t>
  </si>
  <si>
    <t>SE ESTA CONSTRUYENDO O ACTUALIZANDO</t>
  </si>
  <si>
    <t>SE DEBE INSTALAR BASADO EN AMBIENTE DE CONTROL.</t>
  </si>
  <si>
    <t>AJUSTES PERIODICOS A LAS ACTIVIDADES DE MONITOREO PARA EVALUAR MEJOR.</t>
  </si>
  <si>
    <t>SE VALORAN LOS SEGUIMIENTOS A PLANES DE MEJORAMIENTO CON ENTIDADES INTERNAS Y EXTERNAS.</t>
  </si>
  <si>
    <t>A LA FECHA NO SE HA INSTALADO.</t>
  </si>
  <si>
    <t>SE HACEN LAS SUGERENCIAS NECESARIAS PARA EVITAR PROBLEMAS.</t>
  </si>
  <si>
    <t>SE REVISAN PUNTOS CRITICOS QUE PUEDEN AFECTAR EL CUMPLIMIENTO DE METAS.</t>
  </si>
  <si>
    <t>SE FORMULAN PLANES O ESTRATEGIAS PARA CONTROLAR LOS RIESGOS.</t>
  </si>
  <si>
    <t>ES IDEARIO PERO TOCA TOMAR ACCIONES DE CORRECCION PARA SEGUIR LO DISEÑADO.</t>
  </si>
  <si>
    <t>LOS PROBLEMAS SE GESTIONAN BUSCANDO SIEMPRE MENOR AFECTACION POSIBLE.</t>
  </si>
  <si>
    <t>01-01-2021 AL 31-06-.2021</t>
  </si>
  <si>
    <t xml:space="preserve">El Modelo estandar de Control Interno MECI es un proceso que cada dia tiene y debe conllevar mejoras continuas y hoy mas que nunca dada la situacion pandemica que estamos viviendo donde la entidad se ve abocada a problemas financieros, sociales, politicos y otros se hace necesario implementar sistemas de control donde cada lider de proceso se involucre real y efectivamente con losm objetivos y metas de la institucion, de alli que el modelo se encuentra en proceso. </t>
  </si>
  <si>
    <t>La efectividad del Sistema de Control Interno esta ligada a la efectividad del cumplimiento de los planes de accion liderados por cada jefe de area en cumplimiento del plan de desarrollo establecido para el periodo apuntando a la vision y la mision descrita previamnete, como objetivo principal de la alta direccion, que dada la situacion del estado por efectos de la pandemia no se ha podido ejecutar lo planeado en la institucion.</t>
  </si>
  <si>
    <t>Se cuenta dentro de la institucion con las lineas de defensa que permiten tomar decisiones frente al control en los diferentes procesos, dado que existe un jefe de area siempre dispuesto a tomar las decisiones competentes y si no es de su fuero consulta con la alta direccion para definir la situacion, tratando siempre en ser los acertivo posible dentro delmmarco legal vigente.</t>
  </si>
  <si>
    <t xml:space="preserve">       DEBILIDADES: La introduccion de nuevas formas de hacer cosas generalmente causan resistencia lo que conlleva a una persuacion y concientizacion del personal frente a lo nuevo para mejorar a futuro. FORTALEZAS: La experiencia y el trajinar del personal en su oficio permite que los cambios sean admitidos e implementados para bien de la institucion y la comunidad-.</t>
  </si>
  <si>
    <t>DEBILIDADES: Dada la situacion del COVID-19 y el cumulo de normas introducidas durante este periodo casi no da tiempo para atender otras cosas, porque el mismo es un riesgo .FORTALEZA.:Dentro del sistema de salud existe toda una reglamentacion para evaluacion de cada uno de los riesgos, y se tienen los demas controles en la parte administrativa..</t>
  </si>
  <si>
    <t>DEBILIDADES: La situacion pandemica obliga al distanciamiento lo cual dificulta las actividades de control, pero se desarrollan en la medida de lo posible,. FORTALEZAS:El c onocimiento de los procesos permite realizar menos actividades con igual calidad de control.</t>
  </si>
  <si>
    <t>DEBILIDADES.En la institucion la informacion y comunicacion que es de ley se cumple religiosamente, pero hay otra que aun siendo de ley se demora por razones no claras pero se cumple al final, FORTALEZA: Se actualizo la pagina de la entidad para entregar a los grupos de valor informacion actualizada.</t>
  </si>
  <si>
    <t>DEBILIDADES: La expansion fisica de la institucion no permite estar en todas las sedes de una forma mas asidua y mejorar el monitoreo en las diferentes sedes. FORTALEZAS: La centralizacion de la informacion permite conocer lo que pasa en las diferentes y de alli monitorear las actividades relevantes..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</si>
</sst>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1"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22"/>
      <color theme="1"/>
      <name val="Calibri"/>
      <family val="2"/>
      <scheme val="minor"/>
    </font>
    <font>
      <sz val="24"/>
      <color theme="1"/>
      <name val="Calibri"/>
      <family val="2"/>
      <scheme val="minor"/>
    </font>
    <font>
      <sz val="20"/>
      <name val="Arial"/>
      <family val="2"/>
    </font>
    <font>
      <sz val="26"/>
      <color theme="1"/>
      <name val="Calibri"/>
      <family val="2"/>
      <scheme val="minor"/>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36">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0" xfId="0" applyFill="1" applyBorder="1"/>
    <xf numFmtId="0" fontId="7" fillId="4" borderId="0" xfId="0" applyFont="1" applyFill="1" applyBorder="1" applyAlignment="1">
      <alignment horizontal="center"/>
    </xf>
    <xf numFmtId="0" fontId="0" fillId="4" borderId="21"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1"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4" xfId="0" applyFill="1" applyBorder="1"/>
    <xf numFmtId="0" fontId="0" fillId="4" borderId="35" xfId="0" applyFill="1" applyBorder="1"/>
    <xf numFmtId="0" fontId="0" fillId="4" borderId="36"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applyProtection="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applyBorder="1" applyProtection="1"/>
    <xf numFmtId="0" fontId="26" fillId="4" borderId="59" xfId="3" applyFont="1" applyFill="1" applyBorder="1" applyAlignment="1" applyProtection="1">
      <alignment vertical="top" wrapText="1"/>
    </xf>
    <xf numFmtId="0" fontId="26" fillId="4" borderId="0" xfId="3" applyFont="1" applyFill="1" applyBorder="1" applyAlignment="1" applyProtection="1">
      <alignment vertical="top" wrapText="1"/>
    </xf>
    <xf numFmtId="0" fontId="26" fillId="4" borderId="60" xfId="3" applyFont="1" applyFill="1" applyBorder="1" applyAlignment="1" applyProtection="1">
      <alignment vertical="top" wrapText="1"/>
    </xf>
    <xf numFmtId="0" fontId="26" fillId="4" borderId="59" xfId="3" applyFont="1" applyFill="1" applyBorder="1" applyAlignment="1" applyProtection="1">
      <alignment horizontal="left" vertical="top"/>
    </xf>
    <xf numFmtId="0" fontId="26" fillId="4" borderId="60" xfId="3" applyFont="1" applyFill="1" applyBorder="1" applyAlignment="1" applyProtection="1">
      <alignment horizontal="left" vertical="top"/>
    </xf>
    <xf numFmtId="0" fontId="26" fillId="4" borderId="59" xfId="3" applyFont="1" applyFill="1" applyBorder="1" applyProtection="1"/>
    <xf numFmtId="0" fontId="34" fillId="4" borderId="0" xfId="4" applyFont="1" applyFill="1" applyBorder="1" applyAlignment="1" applyProtection="1">
      <alignment horizontal="left" vertical="top" wrapText="1" readingOrder="1"/>
    </xf>
    <xf numFmtId="0" fontId="26" fillId="4" borderId="60" xfId="3" applyFont="1" applyFill="1" applyBorder="1" applyProtection="1"/>
    <xf numFmtId="0" fontId="26" fillId="4" borderId="72" xfId="3" applyFont="1" applyFill="1" applyBorder="1" applyProtection="1"/>
    <xf numFmtId="0" fontId="26" fillId="4" borderId="73" xfId="3" applyFont="1" applyFill="1" applyBorder="1" applyProtection="1"/>
    <xf numFmtId="0" fontId="26" fillId="4" borderId="74" xfId="3" applyFont="1" applyFill="1" applyBorder="1" applyProtection="1"/>
    <xf numFmtId="0" fontId="34" fillId="4" borderId="0" xfId="0" applyFont="1" applyFill="1" applyBorder="1" applyAlignment="1" applyProtection="1">
      <alignment horizontal="left" vertical="center" wrapText="1"/>
    </xf>
    <xf numFmtId="0" fontId="35" fillId="4" borderId="0" xfId="0" applyFont="1" applyFill="1" applyBorder="1" applyAlignment="1" applyProtection="1">
      <alignment horizontal="left" vertical="top" wrapText="1"/>
    </xf>
    <xf numFmtId="0" fontId="26" fillId="4" borderId="0" xfId="3" quotePrefix="1" applyFont="1" applyFill="1" applyBorder="1" applyAlignment="1" applyProtection="1">
      <alignment horizontal="left" vertical="center" wrapText="1"/>
    </xf>
    <xf numFmtId="0" fontId="26" fillId="4" borderId="60" xfId="3" applyFont="1" applyFill="1" applyBorder="1" applyAlignment="1" applyProtection="1"/>
    <xf numFmtId="0" fontId="32" fillId="4" borderId="0" xfId="3" applyFont="1" applyFill="1" applyBorder="1" applyAlignment="1" applyProtection="1">
      <alignment horizontal="left" vertical="center" wrapText="1"/>
    </xf>
    <xf numFmtId="0" fontId="26" fillId="4" borderId="0" xfId="3" applyFont="1" applyFill="1" applyBorder="1" applyAlignment="1" applyProtection="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Fill="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46" fillId="0" borderId="3"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Fill="1" applyBorder="1" applyAlignment="1">
      <alignment horizontal="center" vertical="center"/>
    </xf>
    <xf numFmtId="0" fontId="53" fillId="0" borderId="0" xfId="0" applyFont="1" applyBorder="1" applyAlignment="1">
      <alignment horizontal="center"/>
    </xf>
    <xf numFmtId="0" fontId="52" fillId="12" borderId="3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5" fillId="4" borderId="0" xfId="2" applyNumberFormat="1" applyFont="1" applyFill="1" applyBorder="1" applyAlignment="1" applyProtection="1">
      <alignment vertical="center" wrapText="1"/>
    </xf>
    <xf numFmtId="0" fontId="35" fillId="4" borderId="0" xfId="2" applyFont="1" applyFill="1" applyBorder="1" applyAlignment="1" applyProtection="1">
      <alignment vertical="center" wrapText="1"/>
    </xf>
    <xf numFmtId="0" fontId="36" fillId="0" borderId="0" xfId="0" applyNumberFormat="1"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9" fillId="0" borderId="9"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8" fillId="0" borderId="79" xfId="0" applyFont="1" applyFill="1" applyBorder="1" applyAlignment="1" applyProtection="1">
      <alignment horizontal="center" vertical="center" wrapText="1"/>
      <protection hidden="1"/>
    </xf>
    <xf numFmtId="0" fontId="43" fillId="0" borderId="2" xfId="0" applyFont="1" applyBorder="1" applyAlignment="1" applyProtection="1">
      <alignment horizontal="center" vertical="center" wrapText="1"/>
      <protection locked="0"/>
    </xf>
    <xf numFmtId="0" fontId="36" fillId="0" borderId="79" xfId="0" applyFont="1" applyBorder="1" applyAlignment="1" applyProtection="1">
      <alignment horizontal="left" vertical="center" wrapText="1"/>
      <protection locked="0"/>
    </xf>
    <xf numFmtId="0" fontId="43" fillId="0" borderId="3"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left" vertical="center" wrapText="1"/>
      <protection locked="0"/>
    </xf>
    <xf numFmtId="0" fontId="43" fillId="0" borderId="3" xfId="0" applyFont="1" applyBorder="1" applyAlignment="1" applyProtection="1">
      <alignment horizontal="center" vertical="center" wrapText="1"/>
      <protection locked="0"/>
    </xf>
    <xf numFmtId="0" fontId="36" fillId="0" borderId="9" xfId="0" applyFont="1" applyBorder="1" applyAlignment="1" applyProtection="1">
      <alignment horizontal="left" vertical="center" wrapText="1"/>
      <protection locked="0"/>
    </xf>
    <xf numFmtId="0" fontId="43" fillId="0" borderId="4" xfId="0" applyFont="1" applyBorder="1" applyAlignment="1" applyProtection="1">
      <alignment horizontal="center" vertical="center" wrapText="1"/>
      <protection locked="0"/>
    </xf>
    <xf numFmtId="0" fontId="36" fillId="0" borderId="80" xfId="0" applyFont="1" applyBorder="1" applyAlignment="1" applyProtection="1">
      <alignment horizontal="left" vertical="center" wrapText="1"/>
      <protection locked="0"/>
    </xf>
    <xf numFmtId="0" fontId="43" fillId="0" borderId="2" xfId="0" applyFont="1" applyFill="1" applyBorder="1" applyAlignment="1" applyProtection="1">
      <alignment horizontal="center" vertical="center" wrapText="1"/>
      <protection locked="0"/>
    </xf>
    <xf numFmtId="0" fontId="36" fillId="0" borderId="79" xfId="0" applyFont="1" applyFill="1" applyBorder="1" applyAlignment="1" applyProtection="1">
      <alignment horizontal="left" vertical="center" wrapText="1"/>
      <protection locked="0"/>
    </xf>
    <xf numFmtId="0" fontId="19" fillId="2" borderId="82" xfId="2" applyFont="1" applyFill="1" applyBorder="1" applyAlignment="1" applyProtection="1">
      <alignment horizontal="center" vertical="center"/>
    </xf>
    <xf numFmtId="0" fontId="19" fillId="2" borderId="82"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Fill="1" applyBorder="1" applyAlignment="1" applyProtection="1">
      <alignment vertical="center" wrapText="1"/>
      <protection hidden="1"/>
    </xf>
    <xf numFmtId="0" fontId="40" fillId="0" borderId="3" xfId="0" applyFont="1" applyFill="1" applyBorder="1" applyAlignment="1" applyProtection="1">
      <alignment vertical="center" wrapText="1"/>
      <protection hidden="1"/>
    </xf>
    <xf numFmtId="0" fontId="40" fillId="0" borderId="7" xfId="0" applyFont="1" applyFill="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26" fillId="4" borderId="59" xfId="3" applyFont="1" applyFill="1" applyBorder="1" applyAlignment="1" applyProtection="1">
      <alignment horizontal="left" vertical="top" wrapText="1"/>
    </xf>
    <xf numFmtId="0" fontId="26" fillId="4" borderId="0" xfId="3" applyFont="1" applyFill="1" applyBorder="1" applyAlignment="1" applyProtection="1">
      <alignment horizontal="left" vertical="top" wrapText="1"/>
    </xf>
    <xf numFmtId="0" fontId="26" fillId="4" borderId="60" xfId="3" applyFont="1" applyFill="1" applyBorder="1" applyAlignment="1" applyProtection="1">
      <alignment horizontal="left" vertical="top" wrapText="1"/>
    </xf>
    <xf numFmtId="0" fontId="26" fillId="4" borderId="0" xfId="3" applyFont="1" applyFill="1" applyBorder="1" applyAlignment="1" applyProtection="1"/>
    <xf numFmtId="0" fontId="34" fillId="4" borderId="77" xfId="0" applyFont="1" applyFill="1" applyBorder="1" applyAlignment="1" applyProtection="1">
      <alignment horizontal="left" vertical="center" wrapText="1"/>
    </xf>
    <xf numFmtId="0" fontId="34" fillId="4" borderId="78" xfId="0" applyFont="1" applyFill="1" applyBorder="1" applyAlignment="1" applyProtection="1">
      <alignment horizontal="left" vertical="center" wrapText="1"/>
    </xf>
    <xf numFmtId="0" fontId="35" fillId="0" borderId="69" xfId="3" applyFont="1" applyFill="1" applyBorder="1" applyAlignment="1" applyProtection="1">
      <alignment horizontal="left" vertical="center" wrapText="1"/>
    </xf>
    <xf numFmtId="0" fontId="35" fillId="0" borderId="70" xfId="3" applyFont="1" applyFill="1" applyBorder="1" applyAlignment="1" applyProtection="1">
      <alignment horizontal="left"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7" borderId="50" xfId="2" applyNumberFormat="1" applyFont="1" applyFill="1" applyBorder="1" applyAlignment="1" applyProtection="1">
      <alignment horizontal="center" vertical="center"/>
    </xf>
    <xf numFmtId="0" fontId="25" fillId="7" borderId="51" xfId="2" applyNumberFormat="1" applyFont="1" applyFill="1" applyBorder="1" applyAlignment="1" applyProtection="1">
      <alignment horizontal="center" vertical="center"/>
    </xf>
    <xf numFmtId="0" fontId="26" fillId="0" borderId="56" xfId="2" applyFont="1" applyFill="1" applyBorder="1" applyAlignment="1" applyProtection="1">
      <alignment horizontal="justify" vertical="center" wrapText="1"/>
    </xf>
    <xf numFmtId="0" fontId="26" fillId="0" borderId="57" xfId="2" applyFont="1" applyFill="1" applyBorder="1" applyAlignment="1" applyProtection="1">
      <alignment horizontal="justify" vertical="center" wrapText="1"/>
    </xf>
    <xf numFmtId="0" fontId="25" fillId="8" borderId="52" xfId="2" applyNumberFormat="1" applyFont="1" applyFill="1" applyBorder="1" applyAlignment="1" applyProtection="1">
      <alignment horizontal="center" vertical="center" wrapText="1"/>
    </xf>
    <xf numFmtId="0" fontId="25" fillId="8" borderId="53" xfId="2" applyNumberFormat="1" applyFont="1" applyFill="1" applyBorder="1" applyAlignment="1" applyProtection="1">
      <alignment horizontal="center" vertical="center"/>
    </xf>
    <xf numFmtId="0" fontId="26" fillId="0" borderId="53" xfId="2" applyFont="1" applyFill="1" applyBorder="1" applyAlignment="1" applyProtection="1">
      <alignment horizontal="justify" vertical="center" wrapText="1"/>
    </xf>
    <xf numFmtId="0" fontId="26" fillId="0" borderId="54" xfId="2" applyFont="1" applyFill="1" applyBorder="1" applyAlignment="1" applyProtection="1">
      <alignment horizontal="justify" vertical="center" wrapText="1"/>
    </xf>
    <xf numFmtId="0" fontId="37" fillId="4" borderId="71" xfId="2" applyNumberFormat="1" applyFont="1" applyFill="1" applyBorder="1" applyAlignment="1" applyProtection="1">
      <alignment horizontal="center" vertical="center" wrapText="1"/>
    </xf>
    <xf numFmtId="0" fontId="24" fillId="4" borderId="71" xfId="2" applyFont="1" applyFill="1" applyBorder="1" applyAlignment="1" applyProtection="1">
      <alignment horizontal="center" vertical="center" wrapText="1"/>
    </xf>
    <xf numFmtId="0" fontId="17" fillId="2" borderId="46" xfId="2" applyNumberFormat="1" applyFont="1" applyFill="1" applyBorder="1" applyAlignment="1" applyProtection="1">
      <alignment horizontal="center" vertical="center" wrapText="1"/>
    </xf>
    <xf numFmtId="0" fontId="25" fillId="14" borderId="47" xfId="2" applyNumberFormat="1" applyFont="1" applyFill="1" applyBorder="1" applyAlignment="1" applyProtection="1">
      <alignment horizontal="center" vertical="center"/>
    </xf>
    <xf numFmtId="0" fontId="25" fillId="14" borderId="48" xfId="2" applyNumberFormat="1" applyFont="1" applyFill="1" applyBorder="1" applyAlignment="1" applyProtection="1">
      <alignment horizontal="center" vertical="center"/>
    </xf>
    <xf numFmtId="0" fontId="26" fillId="0" borderId="48" xfId="2" applyFont="1" applyFill="1" applyBorder="1" applyAlignment="1" applyProtection="1">
      <alignment horizontal="justify" vertical="center" wrapText="1"/>
    </xf>
    <xf numFmtId="0" fontId="26" fillId="0" borderId="49" xfId="2" applyFont="1" applyFill="1" applyBorder="1" applyAlignment="1" applyProtection="1">
      <alignment horizontal="justify" vertical="center" wrapText="1"/>
    </xf>
    <xf numFmtId="0" fontId="34" fillId="4" borderId="75" xfId="4" applyFont="1" applyFill="1" applyBorder="1" applyAlignment="1" applyProtection="1">
      <alignment horizontal="left" vertical="center" wrapText="1" readingOrder="1"/>
    </xf>
    <xf numFmtId="0" fontId="34" fillId="4" borderId="76" xfId="4" applyFont="1" applyFill="1" applyBorder="1" applyAlignment="1" applyProtection="1">
      <alignment horizontal="left" vertical="center" wrapText="1" readingOrder="1"/>
    </xf>
    <xf numFmtId="0" fontId="35" fillId="0" borderId="65" xfId="3" applyFont="1" applyFill="1" applyBorder="1" applyAlignment="1" applyProtection="1">
      <alignment horizontal="left" vertical="center" wrapText="1"/>
    </xf>
    <xf numFmtId="0" fontId="35" fillId="0" borderId="66" xfId="3" applyFont="1" applyFill="1" applyBorder="1" applyAlignment="1" applyProtection="1">
      <alignment horizontal="left" vertical="center" wrapText="1"/>
    </xf>
    <xf numFmtId="0" fontId="34" fillId="4" borderId="67" xfId="0" applyFont="1" applyFill="1" applyBorder="1" applyAlignment="1" applyProtection="1">
      <alignment horizontal="left" vertical="center" wrapText="1"/>
    </xf>
    <xf numFmtId="0" fontId="34" fillId="4" borderId="68" xfId="0" applyFont="1" applyFill="1" applyBorder="1" applyAlignment="1" applyProtection="1">
      <alignment horizontal="left" vertical="center" wrapText="1"/>
    </xf>
    <xf numFmtId="0" fontId="35" fillId="0" borderId="69" xfId="3" applyFont="1" applyFill="1" applyBorder="1" applyAlignment="1" applyProtection="1">
      <alignment horizontal="left" vertical="top" wrapText="1"/>
    </xf>
    <xf numFmtId="0" fontId="35" fillId="0" borderId="70" xfId="3" applyFont="1" applyFill="1" applyBorder="1" applyAlignment="1" applyProtection="1">
      <alignment horizontal="left" vertical="top" wrapText="1"/>
    </xf>
    <xf numFmtId="0" fontId="30" fillId="0" borderId="58" xfId="3" applyFont="1" applyBorder="1" applyAlignment="1" applyProtection="1">
      <alignment horizontal="center" vertical="center" wrapText="1"/>
    </xf>
    <xf numFmtId="0" fontId="30" fillId="0" borderId="55" xfId="3" applyFont="1" applyBorder="1" applyAlignment="1" applyProtection="1">
      <alignment horizontal="center" vertical="center" wrapText="1"/>
    </xf>
    <xf numFmtId="0" fontId="30" fillId="0" borderId="8" xfId="3" applyFont="1" applyBorder="1" applyAlignment="1" applyProtection="1">
      <alignment horizontal="center" vertical="center" wrapText="1"/>
    </xf>
    <xf numFmtId="0" fontId="26" fillId="0" borderId="59" xfId="3" quotePrefix="1" applyFont="1" applyBorder="1" applyAlignment="1" applyProtection="1">
      <alignment horizontal="left" vertical="center" wrapText="1"/>
    </xf>
    <xf numFmtId="0" fontId="26" fillId="0" borderId="0" xfId="3" quotePrefix="1" applyFont="1" applyBorder="1" applyAlignment="1" applyProtection="1">
      <alignment horizontal="left" vertical="center" wrapText="1"/>
    </xf>
    <xf numFmtId="0" fontId="26" fillId="0" borderId="60" xfId="3" quotePrefix="1" applyFont="1" applyBorder="1" applyAlignment="1" applyProtection="1">
      <alignment horizontal="left" vertical="center" wrapText="1"/>
    </xf>
    <xf numFmtId="0" fontId="31" fillId="4" borderId="59" xfId="3" quotePrefix="1" applyFont="1" applyFill="1" applyBorder="1" applyAlignment="1" applyProtection="1">
      <alignment horizontal="left" vertical="top" wrapText="1"/>
    </xf>
    <xf numFmtId="0" fontId="25" fillId="4" borderId="0" xfId="3" quotePrefix="1" applyFont="1" applyFill="1" applyBorder="1" applyAlignment="1" applyProtection="1">
      <alignment horizontal="left" vertical="top" wrapText="1"/>
    </xf>
    <xf numFmtId="0" fontId="25" fillId="4" borderId="60" xfId="3" quotePrefix="1" applyFont="1" applyFill="1" applyBorder="1" applyAlignment="1" applyProtection="1">
      <alignment horizontal="left" vertical="top" wrapText="1"/>
    </xf>
    <xf numFmtId="0" fontId="26" fillId="4" borderId="59" xfId="3" quotePrefix="1" applyFont="1" applyFill="1" applyBorder="1" applyAlignment="1" applyProtection="1">
      <alignment horizontal="left" vertical="top" wrapText="1"/>
    </xf>
    <xf numFmtId="0" fontId="26" fillId="4" borderId="0" xfId="3" quotePrefix="1" applyFont="1" applyFill="1" applyBorder="1" applyAlignment="1" applyProtection="1">
      <alignment horizontal="left" vertical="top" wrapText="1"/>
    </xf>
    <xf numFmtId="0" fontId="26" fillId="4" borderId="60" xfId="3" quotePrefix="1" applyFont="1" applyFill="1" applyBorder="1" applyAlignment="1" applyProtection="1">
      <alignment horizontal="left" vertical="top" wrapText="1"/>
    </xf>
    <xf numFmtId="0" fontId="34" fillId="16" borderId="61" xfId="4" applyFont="1" applyFill="1" applyBorder="1" applyAlignment="1" applyProtection="1">
      <alignment horizontal="center" vertical="center" wrapText="1"/>
    </xf>
    <xf numFmtId="0" fontId="34" fillId="16" borderId="62" xfId="4" applyFont="1" applyFill="1" applyBorder="1" applyAlignment="1" applyProtection="1">
      <alignment horizontal="center" vertical="center" wrapText="1"/>
    </xf>
    <xf numFmtId="0" fontId="34" fillId="16" borderId="63" xfId="3" applyFont="1" applyFill="1" applyBorder="1" applyAlignment="1" applyProtection="1">
      <alignment horizontal="center" vertical="center"/>
    </xf>
    <xf numFmtId="0" fontId="34" fillId="16" borderId="64" xfId="3" applyFont="1" applyFill="1" applyBorder="1" applyAlignment="1" applyProtection="1">
      <alignment horizontal="center" vertical="center"/>
    </xf>
    <xf numFmtId="49" fontId="45" fillId="5" borderId="0" xfId="0" applyNumberFormat="1" applyFont="1" applyFill="1" applyBorder="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13"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2" xfId="0" applyFont="1" applyFill="1" applyBorder="1" applyAlignment="1">
      <alignment horizontal="center" vertical="center" wrapText="1"/>
    </xf>
    <xf numFmtId="0" fontId="44" fillId="10" borderId="13"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0" fontId="19" fillId="3" borderId="32" xfId="2" applyFont="1" applyFill="1" applyBorder="1" applyAlignment="1" applyProtection="1">
      <alignment horizontal="center" vertical="center" wrapText="1"/>
    </xf>
    <xf numFmtId="0" fontId="19" fillId="3" borderId="33" xfId="2" applyFont="1" applyFill="1" applyBorder="1" applyAlignment="1" applyProtection="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pplyProtection="1">
      <alignment horizontal="center" vertical="center" wrapText="1"/>
    </xf>
    <xf numFmtId="0" fontId="19" fillId="2" borderId="83"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3" xfId="2" applyFont="1" applyFill="1" applyBorder="1" applyAlignment="1" applyProtection="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57" fillId="0" borderId="24" xfId="0" applyFont="1" applyBorder="1" applyAlignment="1" applyProtection="1">
      <alignment horizontal="center" wrapText="1"/>
      <protection locked="0"/>
    </xf>
    <xf numFmtId="0" fontId="57" fillId="0" borderId="1" xfId="0" applyFont="1" applyBorder="1" applyAlignment="1" applyProtection="1">
      <alignment horizontal="center" wrapText="1"/>
      <protection locked="0"/>
    </xf>
    <xf numFmtId="0" fontId="57" fillId="0" borderId="25" xfId="0" applyFont="1" applyBorder="1" applyAlignment="1" applyProtection="1">
      <alignment horizontal="center" wrapText="1"/>
      <protection locked="0"/>
    </xf>
    <xf numFmtId="0" fontId="58" fillId="0" borderId="24" xfId="0" applyFont="1" applyBorder="1" applyAlignment="1" applyProtection="1">
      <alignment horizontal="center" wrapText="1"/>
      <protection locked="0"/>
    </xf>
    <xf numFmtId="0" fontId="58" fillId="0" borderId="1" xfId="0" applyFont="1" applyBorder="1" applyAlignment="1" applyProtection="1">
      <alignment horizontal="center" wrapText="1"/>
      <protection locked="0"/>
    </xf>
    <xf numFmtId="0" fontId="58" fillId="0" borderId="25" xfId="0" applyFont="1" applyBorder="1" applyAlignment="1" applyProtection="1">
      <alignment horizontal="center" wrapText="1"/>
      <protection locked="0"/>
    </xf>
    <xf numFmtId="0" fontId="60" fillId="0" borderId="24" xfId="0" applyFont="1" applyBorder="1" applyAlignment="1" applyProtection="1">
      <alignment horizontal="center" wrapText="1"/>
      <protection locked="0"/>
    </xf>
    <xf numFmtId="0" fontId="60" fillId="0" borderId="1" xfId="0" applyFont="1" applyBorder="1" applyAlignment="1" applyProtection="1">
      <alignment horizontal="center" wrapText="1"/>
      <protection locked="0"/>
    </xf>
    <xf numFmtId="0" fontId="60" fillId="0" borderId="25" xfId="0" applyFont="1" applyBorder="1" applyAlignment="1" applyProtection="1">
      <alignment horizontal="center" wrapText="1"/>
      <protection locked="0"/>
    </xf>
    <xf numFmtId="0" fontId="52" fillId="12" borderId="0" xfId="0" applyFont="1" applyFill="1" applyBorder="1" applyAlignment="1">
      <alignment horizontal="center" vertical="center" wrapText="1"/>
    </xf>
    <xf numFmtId="0" fontId="59" fillId="0" borderId="24" xfId="0" applyFont="1" applyFill="1" applyBorder="1" applyAlignment="1" applyProtection="1">
      <alignment horizontal="center" vertical="center" wrapText="1"/>
      <protection locked="0"/>
    </xf>
    <xf numFmtId="0" fontId="59" fillId="0" borderId="1" xfId="0" applyFont="1" applyFill="1" applyBorder="1" applyAlignment="1" applyProtection="1">
      <alignment horizontal="center" vertical="center" wrapText="1"/>
      <protection locked="0"/>
    </xf>
    <xf numFmtId="0" fontId="59" fillId="0" borderId="25" xfId="0" applyFont="1" applyFill="1" applyBorder="1" applyAlignment="1" applyProtection="1">
      <alignment horizontal="center" vertical="center" wrapText="1"/>
      <protection locked="0"/>
    </xf>
    <xf numFmtId="0" fontId="0" fillId="0" borderId="73" xfId="0" applyBorder="1" applyAlignment="1">
      <alignment horizontal="center"/>
    </xf>
    <xf numFmtId="0" fontId="0" fillId="0" borderId="1" xfId="0" applyBorder="1" applyAlignment="1">
      <alignment horizont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center" vertical="center"/>
      <protection locked="0"/>
    </xf>
    <xf numFmtId="164" fontId="56" fillId="4" borderId="23" xfId="0" applyNumberFormat="1" applyFont="1" applyFill="1" applyBorder="1" applyAlignment="1" applyProtection="1">
      <alignment horizontal="center" vertical="center"/>
      <protection locked="0"/>
    </xf>
    <xf numFmtId="164" fontId="56" fillId="4" borderId="9" xfId="0" applyNumberFormat="1" applyFont="1" applyFill="1" applyBorder="1" applyAlignment="1" applyProtection="1">
      <alignment horizontal="center"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53" fillId="4" borderId="2" xfId="0" applyNumberFormat="1" applyFont="1" applyFill="1" applyBorder="1" applyAlignment="1" applyProtection="1">
      <alignment horizontal="center" vertical="top" wrapText="1"/>
      <protection locked="0"/>
    </xf>
    <xf numFmtId="49" fontId="53" fillId="4" borderId="84" xfId="0" applyNumberFormat="1" applyFont="1" applyFill="1" applyBorder="1" applyAlignment="1" applyProtection="1">
      <alignment horizontal="center" vertical="top" wrapText="1"/>
      <protection locked="0"/>
    </xf>
    <xf numFmtId="49" fontId="57" fillId="4" borderId="3" xfId="0" applyNumberFormat="1" applyFont="1" applyFill="1" applyBorder="1" applyAlignment="1" applyProtection="1">
      <alignment horizontal="center" vertical="top" wrapText="1"/>
      <protection locked="0"/>
    </xf>
    <xf numFmtId="49" fontId="57" fillId="4" borderId="85" xfId="0" applyNumberFormat="1" applyFont="1" applyFill="1" applyBorder="1" applyAlignment="1" applyProtection="1">
      <alignment horizontal="center" vertical="top" wrapText="1"/>
      <protection locked="0"/>
    </xf>
    <xf numFmtId="49" fontId="58" fillId="4" borderId="4" xfId="0" applyNumberFormat="1" applyFont="1" applyFill="1" applyBorder="1" applyAlignment="1" applyProtection="1">
      <alignment horizontal="center" vertical="top" wrapText="1"/>
      <protection locked="0"/>
    </xf>
    <xf numFmtId="49" fontId="58" fillId="4" borderId="86" xfId="0" applyNumberFormat="1" applyFont="1" applyFill="1" applyBorder="1" applyAlignment="1" applyProtection="1">
      <alignment horizontal="center" vertical="top" wrapText="1"/>
      <protection locked="0"/>
    </xf>
  </cellXfs>
  <cellStyles count="5">
    <cellStyle name="Normal" xfId="0" builtinId="0"/>
    <cellStyle name="Normal - Style1 2" xfId="3"/>
    <cellStyle name="Normal 2" xfId="2"/>
    <cellStyle name="Normal 2 2" xfId="4"/>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3" zoomScale="90" zoomScaleNormal="90" workbookViewId="0">
      <selection activeCell="B6" sqref="B6:H7"/>
    </sheetView>
  </sheetViews>
  <sheetFormatPr baseColWidth="10" defaultColWidth="0" defaultRowHeight="12.75" zeroHeight="1" x14ac:dyDescent="0.2"/>
  <cols>
    <col min="1" max="1" width="3.85546875" style="45" customWidth="1"/>
    <col min="2" max="2" width="15.28515625" style="45" customWidth="1"/>
    <col min="3" max="3" width="17.28515625" style="45" customWidth="1"/>
    <col min="4" max="4" width="28.5703125" style="45" customWidth="1"/>
    <col min="5" max="5" width="12.85546875" style="45" customWidth="1"/>
    <col min="6" max="6" width="47.140625" style="45" customWidth="1"/>
    <col min="7" max="7" width="21.42578125" style="45" customWidth="1"/>
    <col min="8" max="8" width="6.5703125" style="45" customWidth="1"/>
    <col min="9" max="9" width="2.5703125" style="45" customWidth="1"/>
    <col min="10" max="16384" width="11.42578125" style="45" hidden="1"/>
  </cols>
  <sheetData>
    <row r="1" spans="2:8" ht="13.5" thickBot="1" x14ac:dyDescent="0.25"/>
    <row r="2" spans="2:8" ht="73.5" customHeight="1" x14ac:dyDescent="0.2">
      <c r="B2" s="197" t="s">
        <v>0</v>
      </c>
      <c r="C2" s="198"/>
      <c r="D2" s="198"/>
      <c r="E2" s="198"/>
      <c r="F2" s="198"/>
      <c r="G2" s="198"/>
      <c r="H2" s="199"/>
    </row>
    <row r="3" spans="2:8" ht="65.25" customHeight="1" x14ac:dyDescent="0.2">
      <c r="B3" s="200" t="s">
        <v>1</v>
      </c>
      <c r="C3" s="201"/>
      <c r="D3" s="201"/>
      <c r="E3" s="201"/>
      <c r="F3" s="201"/>
      <c r="G3" s="201"/>
      <c r="H3" s="202"/>
    </row>
    <row r="4" spans="2:8" ht="82.5" customHeight="1" x14ac:dyDescent="0.2">
      <c r="B4" s="200"/>
      <c r="C4" s="201"/>
      <c r="D4" s="201"/>
      <c r="E4" s="201"/>
      <c r="F4" s="201"/>
      <c r="G4" s="201"/>
      <c r="H4" s="202"/>
    </row>
    <row r="5" spans="2:8" ht="21.75" customHeight="1" x14ac:dyDescent="0.2">
      <c r="B5" s="203" t="s">
        <v>2</v>
      </c>
      <c r="C5" s="204"/>
      <c r="D5" s="204"/>
      <c r="E5" s="204"/>
      <c r="F5" s="204"/>
      <c r="G5" s="204"/>
      <c r="H5" s="205"/>
    </row>
    <row r="6" spans="2:8" ht="42" customHeight="1" x14ac:dyDescent="0.2">
      <c r="B6" s="206" t="s">
        <v>3</v>
      </c>
      <c r="C6" s="207"/>
      <c r="D6" s="207"/>
      <c r="E6" s="207"/>
      <c r="F6" s="207"/>
      <c r="G6" s="207"/>
      <c r="H6" s="208"/>
    </row>
    <row r="7" spans="2:8" ht="14.25" customHeight="1" x14ac:dyDescent="0.2">
      <c r="B7" s="206"/>
      <c r="C7" s="207"/>
      <c r="D7" s="207"/>
      <c r="E7" s="207"/>
      <c r="F7" s="207"/>
      <c r="G7" s="207"/>
      <c r="H7" s="208"/>
    </row>
    <row r="8" spans="2:8" ht="12.75" customHeight="1" thickBot="1" x14ac:dyDescent="0.25">
      <c r="B8" s="57"/>
      <c r="C8" s="51"/>
      <c r="D8" s="67"/>
      <c r="E8" s="68"/>
      <c r="F8" s="68"/>
      <c r="G8" s="65"/>
      <c r="H8" s="66"/>
    </row>
    <row r="9" spans="2:8" ht="21" customHeight="1" thickTop="1" x14ac:dyDescent="0.2">
      <c r="B9" s="57"/>
      <c r="C9" s="209" t="s">
        <v>4</v>
      </c>
      <c r="D9" s="210"/>
      <c r="E9" s="211" t="s">
        <v>5</v>
      </c>
      <c r="F9" s="212"/>
      <c r="G9" s="51"/>
      <c r="H9" s="59"/>
    </row>
    <row r="10" spans="2:8" ht="37.5" customHeight="1" x14ac:dyDescent="0.2">
      <c r="B10" s="57"/>
      <c r="C10" s="189" t="s">
        <v>6</v>
      </c>
      <c r="D10" s="190"/>
      <c r="E10" s="191" t="s">
        <v>7</v>
      </c>
      <c r="F10" s="192"/>
      <c r="G10" s="51"/>
      <c r="H10" s="59"/>
    </row>
    <row r="11" spans="2:8" ht="39.75" customHeight="1" x14ac:dyDescent="0.2">
      <c r="B11" s="57"/>
      <c r="C11" s="193" t="s">
        <v>8</v>
      </c>
      <c r="D11" s="194"/>
      <c r="E11" s="170" t="s">
        <v>9</v>
      </c>
      <c r="F11" s="171"/>
      <c r="G11" s="51"/>
      <c r="H11" s="59"/>
    </row>
    <row r="12" spans="2:8" ht="59.25" customHeight="1" x14ac:dyDescent="0.2">
      <c r="B12" s="57"/>
      <c r="C12" s="193" t="s">
        <v>10</v>
      </c>
      <c r="D12" s="194"/>
      <c r="E12" s="195" t="s">
        <v>11</v>
      </c>
      <c r="F12" s="196"/>
      <c r="G12" s="51"/>
      <c r="H12" s="59"/>
    </row>
    <row r="13" spans="2:8" ht="33.75" customHeight="1" x14ac:dyDescent="0.2">
      <c r="B13" s="57"/>
      <c r="C13" s="168" t="s">
        <v>12</v>
      </c>
      <c r="D13" s="169"/>
      <c r="E13" s="170" t="s">
        <v>13</v>
      </c>
      <c r="F13" s="171"/>
      <c r="G13" s="51"/>
      <c r="H13" s="59"/>
    </row>
    <row r="14" spans="2:8" ht="19.5" customHeight="1" x14ac:dyDescent="0.2">
      <c r="B14" s="57"/>
      <c r="C14" s="63"/>
      <c r="D14" s="63"/>
      <c r="E14" s="64"/>
      <c r="F14" s="64"/>
      <c r="G14" s="51"/>
      <c r="H14" s="59"/>
    </row>
    <row r="15" spans="2:8" ht="37.5" customHeight="1" thickBot="1" x14ac:dyDescent="0.25">
      <c r="B15" s="164" t="s">
        <v>14</v>
      </c>
      <c r="C15" s="165"/>
      <c r="D15" s="165"/>
      <c r="E15" s="165"/>
      <c r="F15" s="165"/>
      <c r="G15" s="165"/>
      <c r="H15" s="166"/>
    </row>
    <row r="16" spans="2:8" ht="27.75" customHeight="1" thickBot="1" x14ac:dyDescent="0.25">
      <c r="B16" s="57"/>
      <c r="C16" s="172" t="s">
        <v>15</v>
      </c>
      <c r="D16" s="173"/>
      <c r="E16" s="173" t="s">
        <v>16</v>
      </c>
      <c r="F16" s="184"/>
      <c r="G16" s="51"/>
      <c r="H16" s="59"/>
    </row>
    <row r="17" spans="2:8" ht="27.75" customHeight="1" x14ac:dyDescent="0.2">
      <c r="B17" s="57"/>
      <c r="C17" s="185" t="s">
        <v>17</v>
      </c>
      <c r="D17" s="186"/>
      <c r="E17" s="187" t="s">
        <v>18</v>
      </c>
      <c r="F17" s="188"/>
      <c r="G17" s="101"/>
      <c r="H17" s="59"/>
    </row>
    <row r="18" spans="2:8" ht="41.25" customHeight="1" x14ac:dyDescent="0.2">
      <c r="B18" s="57"/>
      <c r="C18" s="174" t="s">
        <v>19</v>
      </c>
      <c r="D18" s="175"/>
      <c r="E18" s="176" t="s">
        <v>20</v>
      </c>
      <c r="F18" s="177"/>
      <c r="G18" s="102"/>
      <c r="H18" s="59"/>
    </row>
    <row r="19" spans="2:8" ht="37.5" customHeight="1" thickBot="1" x14ac:dyDescent="0.25">
      <c r="B19" s="57"/>
      <c r="C19" s="178" t="s">
        <v>21</v>
      </c>
      <c r="D19" s="179"/>
      <c r="E19" s="180" t="s">
        <v>22</v>
      </c>
      <c r="F19" s="181"/>
      <c r="G19" s="102"/>
      <c r="H19" s="59"/>
    </row>
    <row r="20" spans="2:8" ht="11.25" customHeight="1" x14ac:dyDescent="0.2">
      <c r="B20" s="52"/>
      <c r="C20" s="53"/>
      <c r="D20" s="53"/>
      <c r="E20" s="53"/>
      <c r="F20" s="53"/>
      <c r="G20" s="53"/>
      <c r="H20" s="54"/>
    </row>
    <row r="21" spans="2:8" ht="14.25" customHeight="1" x14ac:dyDescent="0.2">
      <c r="B21" s="55"/>
      <c r="C21" s="182"/>
      <c r="D21" s="182"/>
      <c r="E21" s="183"/>
      <c r="F21" s="183"/>
      <c r="G21" s="183"/>
      <c r="H21" s="56"/>
    </row>
    <row r="22" spans="2:8" ht="36" customHeight="1" x14ac:dyDescent="0.2">
      <c r="B22" s="164" t="s">
        <v>23</v>
      </c>
      <c r="C22" s="165"/>
      <c r="D22" s="165"/>
      <c r="E22" s="165"/>
      <c r="F22" s="165"/>
      <c r="G22" s="165"/>
      <c r="H22" s="166"/>
    </row>
    <row r="23" spans="2:8" ht="13.5" x14ac:dyDescent="0.2">
      <c r="B23" s="57"/>
      <c r="C23" s="58"/>
      <c r="D23" s="58"/>
      <c r="E23" s="167"/>
      <c r="F23" s="167"/>
      <c r="G23" s="51"/>
      <c r="H23" s="59"/>
    </row>
    <row r="24" spans="2:8" ht="13.5" thickBot="1" x14ac:dyDescent="0.25">
      <c r="B24" s="60"/>
      <c r="C24" s="61"/>
      <c r="D24" s="61"/>
      <c r="E24" s="61"/>
      <c r="F24" s="61"/>
      <c r="G24" s="61"/>
      <c r="H24" s="62"/>
    </row>
    <row r="25" spans="2:8" x14ac:dyDescent="0.2"/>
    <row r="26" spans="2:8" ht="29.25" customHeight="1" x14ac:dyDescent="0.2"/>
    <row r="27" spans="2:8" ht="26.25" customHeight="1" x14ac:dyDescent="0.2"/>
    <row r="28" spans="2:8" ht="43.5" customHeight="1" x14ac:dyDescent="0.2"/>
    <row r="29" spans="2:8" ht="53.25" customHeight="1" x14ac:dyDescent="0.2"/>
    <row r="30" spans="2:8" x14ac:dyDescent="0.2"/>
    <row r="31" spans="2:8" x14ac:dyDescent="0.2"/>
    <row r="32" spans="2:8" x14ac:dyDescent="0.2"/>
    <row r="33" x14ac:dyDescent="0.2"/>
    <row r="34" x14ac:dyDescent="0.2"/>
    <row r="35"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algorithmName="SHA-512" hashValue="t7sIeOvFa2bhukBsHVcHmO5gG9cifT20ZR8W/o5PL1FLs7w8K+KkEm6wLVbMVfYFM8W9luBRuNKu+qdhAWPM7w==" saltValue="H/shNuEdnFDauevCofk8Sw==" spinCount="100000" sheet="1" objects="1" scenarios="1"/>
  <mergeCells count="27">
    <mergeCell ref="B2:H2"/>
    <mergeCell ref="B3:H4"/>
    <mergeCell ref="B5:H5"/>
    <mergeCell ref="B6:H7"/>
    <mergeCell ref="C9:D9"/>
    <mergeCell ref="E9:F9"/>
    <mergeCell ref="C10:D10"/>
    <mergeCell ref="E10:F10"/>
    <mergeCell ref="C11:D11"/>
    <mergeCell ref="E11:F11"/>
    <mergeCell ref="C12:D12"/>
    <mergeCell ref="E12:F12"/>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topLeftCell="D50" zoomScale="80" zoomScaleNormal="80" workbookViewId="0">
      <selection activeCell="I16" sqref="I16"/>
    </sheetView>
  </sheetViews>
  <sheetFormatPr baseColWidth="10" defaultColWidth="11.42578125" defaultRowHeight="16.5" x14ac:dyDescent="0.3"/>
  <cols>
    <col min="1" max="1" width="3" style="47" hidden="1" customWidth="1"/>
    <col min="2" max="2" width="9.42578125" style="47" customWidth="1"/>
    <col min="3" max="3" width="25.5703125" style="47" customWidth="1"/>
    <col min="4" max="4" width="46.5703125" style="47" customWidth="1"/>
    <col min="5" max="5" width="10.140625" style="70" customWidth="1"/>
    <col min="6" max="6" width="44.5703125" style="70" customWidth="1"/>
    <col min="7" max="7" width="15.42578125" style="47" customWidth="1"/>
    <col min="8" max="9" width="43" style="47" customWidth="1"/>
    <col min="10" max="12" width="11.42578125" style="75" customWidth="1"/>
    <col min="13" max="24" width="11.42578125" style="47" customWidth="1"/>
    <col min="25" max="16384" width="11.42578125" style="47"/>
  </cols>
  <sheetData>
    <row r="1" spans="1:32" x14ac:dyDescent="0.3">
      <c r="B1" s="46"/>
      <c r="C1" s="46"/>
      <c r="D1" s="46"/>
      <c r="E1" s="69"/>
      <c r="F1" s="69"/>
      <c r="G1" s="46"/>
      <c r="H1" s="46"/>
      <c r="I1" s="46"/>
      <c r="J1" s="71"/>
      <c r="K1" s="71"/>
      <c r="L1" s="72"/>
      <c r="M1" s="46"/>
      <c r="N1" s="46"/>
      <c r="O1" s="46"/>
      <c r="P1" s="46"/>
      <c r="Q1" s="46"/>
      <c r="R1" s="46"/>
      <c r="S1" s="46"/>
      <c r="T1" s="46"/>
      <c r="U1" s="46"/>
      <c r="V1" s="46"/>
      <c r="W1" s="46"/>
      <c r="X1" s="46"/>
    </row>
    <row r="2" spans="1:32" x14ac:dyDescent="0.3">
      <c r="B2" s="46"/>
      <c r="C2" s="46"/>
      <c r="D2" s="46"/>
      <c r="E2" s="69"/>
      <c r="F2" s="69"/>
      <c r="G2" s="46"/>
      <c r="H2" s="46"/>
      <c r="I2" s="46"/>
      <c r="J2" s="71"/>
      <c r="K2" s="71"/>
      <c r="L2" s="72"/>
      <c r="M2" s="46"/>
      <c r="N2" s="46"/>
      <c r="O2" s="46"/>
      <c r="P2" s="46"/>
      <c r="Q2" s="46"/>
      <c r="R2" s="46"/>
      <c r="S2" s="46"/>
      <c r="T2" s="46"/>
      <c r="U2" s="46"/>
      <c r="V2" s="46"/>
      <c r="W2" s="46"/>
      <c r="X2" s="46"/>
    </row>
    <row r="3" spans="1:32" x14ac:dyDescent="0.3">
      <c r="B3" s="46"/>
      <c r="C3" s="46"/>
      <c r="D3" s="46"/>
      <c r="E3" s="69"/>
      <c r="F3" s="69"/>
      <c r="G3" s="46"/>
      <c r="H3" s="46"/>
      <c r="I3" s="46"/>
      <c r="J3" s="71"/>
      <c r="K3" s="71"/>
      <c r="L3" s="72"/>
      <c r="M3" s="46"/>
      <c r="N3" s="46"/>
      <c r="O3" s="46"/>
      <c r="P3" s="46"/>
      <c r="Q3" s="46"/>
      <c r="R3" s="46"/>
      <c r="S3" s="46"/>
      <c r="T3" s="46"/>
      <c r="U3" s="46"/>
      <c r="V3" s="46"/>
      <c r="W3" s="46"/>
      <c r="X3" s="46"/>
    </row>
    <row r="4" spans="1:32" x14ac:dyDescent="0.3">
      <c r="B4" s="46"/>
      <c r="C4" s="46"/>
      <c r="D4" s="46"/>
      <c r="E4" s="69"/>
      <c r="F4" s="69"/>
      <c r="G4" s="46"/>
      <c r="H4" s="46"/>
      <c r="I4" s="46"/>
      <c r="J4" s="71"/>
      <c r="K4" s="71"/>
      <c r="L4" s="72"/>
      <c r="M4" s="46"/>
      <c r="N4" s="46"/>
      <c r="O4" s="46"/>
      <c r="P4" s="46"/>
      <c r="Q4" s="46"/>
      <c r="R4" s="46"/>
      <c r="S4" s="46"/>
      <c r="T4" s="46"/>
      <c r="U4" s="46"/>
      <c r="V4" s="46"/>
      <c r="W4" s="46"/>
      <c r="X4" s="46"/>
    </row>
    <row r="5" spans="1:32" x14ac:dyDescent="0.3">
      <c r="B5" s="46"/>
      <c r="C5" s="46"/>
      <c r="D5" s="46"/>
      <c r="E5" s="69"/>
      <c r="F5" s="69"/>
      <c r="G5" s="46"/>
      <c r="H5" s="46"/>
      <c r="I5" s="46"/>
      <c r="J5" s="71"/>
      <c r="K5" s="71"/>
      <c r="L5" s="72"/>
      <c r="M5" s="46"/>
      <c r="N5" s="46"/>
      <c r="O5" s="46"/>
      <c r="P5" s="46"/>
      <c r="Q5" s="46"/>
      <c r="R5" s="46"/>
      <c r="S5" s="46"/>
      <c r="T5" s="46"/>
      <c r="U5" s="46"/>
      <c r="V5" s="46"/>
      <c r="W5" s="46"/>
      <c r="X5" s="46"/>
    </row>
    <row r="6" spans="1:32" x14ac:dyDescent="0.3">
      <c r="B6" s="46"/>
      <c r="C6" s="46"/>
      <c r="D6" s="46"/>
      <c r="E6" s="69"/>
      <c r="F6" s="69"/>
      <c r="G6" s="46"/>
      <c r="H6" s="46"/>
      <c r="I6" s="46"/>
      <c r="J6" s="71"/>
      <c r="K6" s="71"/>
      <c r="L6" s="72"/>
      <c r="M6" s="46"/>
      <c r="N6" s="46"/>
      <c r="O6" s="46"/>
      <c r="P6" s="46"/>
      <c r="Q6" s="46"/>
      <c r="R6" s="46"/>
      <c r="S6" s="46"/>
      <c r="T6" s="46"/>
      <c r="U6" s="46"/>
      <c r="V6" s="46"/>
      <c r="W6" s="46"/>
      <c r="X6" s="46"/>
    </row>
    <row r="7" spans="1:32" x14ac:dyDescent="0.3">
      <c r="B7" s="46"/>
      <c r="C7" s="46"/>
      <c r="D7" s="46"/>
      <c r="E7" s="69"/>
      <c r="F7" s="69"/>
      <c r="G7" s="46"/>
      <c r="H7" s="46"/>
      <c r="I7" s="46"/>
      <c r="J7" s="71"/>
      <c r="K7" s="71"/>
      <c r="L7" s="72"/>
      <c r="M7" s="46"/>
      <c r="N7" s="46"/>
      <c r="O7" s="46"/>
      <c r="P7" s="46"/>
      <c r="Q7" s="46"/>
      <c r="R7" s="46"/>
      <c r="S7" s="46"/>
      <c r="T7" s="46"/>
      <c r="U7" s="46"/>
      <c r="V7" s="46"/>
      <c r="W7" s="46"/>
      <c r="X7" s="46"/>
    </row>
    <row r="8" spans="1:32" x14ac:dyDescent="0.3">
      <c r="B8" s="46"/>
      <c r="C8" s="46"/>
      <c r="D8" s="46"/>
      <c r="E8" s="69"/>
      <c r="F8" s="69"/>
      <c r="G8" s="46"/>
      <c r="H8" s="46"/>
      <c r="I8" s="46"/>
      <c r="J8" s="71"/>
      <c r="K8" s="71"/>
      <c r="L8" s="72"/>
      <c r="M8" s="46"/>
      <c r="N8" s="46"/>
      <c r="O8" s="46"/>
      <c r="P8" s="46"/>
      <c r="Q8" s="46"/>
      <c r="R8" s="46"/>
      <c r="S8" s="46"/>
      <c r="T8" s="46"/>
      <c r="U8" s="46"/>
      <c r="V8" s="46"/>
      <c r="W8" s="46"/>
      <c r="X8" s="46"/>
    </row>
    <row r="9" spans="1:32" x14ac:dyDescent="0.3">
      <c r="B9" s="46"/>
      <c r="C9" s="46"/>
      <c r="D9" s="46"/>
      <c r="E9" s="69"/>
      <c r="F9" s="69"/>
      <c r="G9" s="46"/>
      <c r="H9" s="46"/>
      <c r="I9" s="46"/>
      <c r="J9" s="71"/>
      <c r="K9" s="71"/>
      <c r="L9" s="72"/>
      <c r="M9" s="46"/>
      <c r="N9" s="46"/>
      <c r="O9" s="46"/>
      <c r="P9" s="46"/>
      <c r="Q9" s="46"/>
      <c r="R9" s="46"/>
      <c r="S9" s="46"/>
      <c r="T9" s="46"/>
      <c r="U9" s="46"/>
      <c r="V9" s="46"/>
      <c r="W9" s="46"/>
      <c r="X9" s="46"/>
    </row>
    <row r="10" spans="1:32" x14ac:dyDescent="0.3">
      <c r="B10" s="46"/>
      <c r="C10" s="46"/>
      <c r="D10" s="46"/>
      <c r="E10" s="69"/>
      <c r="F10" s="69"/>
      <c r="G10" s="46"/>
      <c r="H10" s="46"/>
      <c r="I10" s="46"/>
      <c r="J10" s="71"/>
      <c r="K10" s="71"/>
      <c r="L10" s="72"/>
      <c r="M10" s="46"/>
      <c r="N10" s="46"/>
      <c r="O10" s="46"/>
      <c r="P10" s="46"/>
      <c r="Q10" s="46"/>
      <c r="R10" s="46"/>
      <c r="S10" s="46"/>
      <c r="T10" s="46"/>
      <c r="U10" s="46"/>
      <c r="V10" s="46"/>
      <c r="W10" s="46"/>
      <c r="X10" s="46"/>
    </row>
    <row r="11" spans="1:32" x14ac:dyDescent="0.3">
      <c r="B11" s="46"/>
      <c r="C11" s="46"/>
      <c r="D11" s="46"/>
      <c r="E11" s="69"/>
      <c r="F11" s="69"/>
      <c r="G11" s="46"/>
      <c r="H11" s="46"/>
      <c r="I11" s="46"/>
      <c r="J11" s="71"/>
      <c r="K11" s="71"/>
      <c r="L11" s="72"/>
      <c r="M11" s="46"/>
      <c r="N11" s="46"/>
      <c r="O11" s="46"/>
      <c r="P11" s="46"/>
      <c r="Q11" s="46"/>
      <c r="R11" s="46"/>
      <c r="S11" s="46"/>
      <c r="T11" s="46"/>
      <c r="U11" s="46"/>
      <c r="V11" s="46"/>
      <c r="W11" s="46"/>
      <c r="X11" s="46"/>
    </row>
    <row r="12" spans="1:32" x14ac:dyDescent="0.3">
      <c r="B12" s="46"/>
      <c r="C12" s="46"/>
      <c r="D12" s="46"/>
      <c r="E12" s="69"/>
      <c r="F12" s="69"/>
      <c r="G12" s="46"/>
      <c r="H12" s="46"/>
      <c r="I12" s="46"/>
      <c r="J12" s="71"/>
      <c r="K12" s="71"/>
      <c r="L12" s="72"/>
      <c r="M12" s="46"/>
      <c r="N12" s="46"/>
      <c r="O12" s="46"/>
      <c r="P12" s="46"/>
      <c r="Q12" s="46"/>
      <c r="R12" s="46"/>
      <c r="S12" s="46"/>
      <c r="T12" s="46"/>
      <c r="U12" s="46"/>
      <c r="V12" s="46"/>
      <c r="W12" s="46"/>
      <c r="X12" s="46"/>
    </row>
    <row r="13" spans="1:32" x14ac:dyDescent="0.3">
      <c r="B13" s="46"/>
      <c r="C13" s="46"/>
      <c r="D13" s="46"/>
      <c r="E13" s="69"/>
      <c r="F13" s="69"/>
      <c r="G13" s="46"/>
      <c r="H13" s="46"/>
      <c r="I13" s="46"/>
      <c r="J13" s="71"/>
      <c r="K13" s="71"/>
      <c r="L13" s="72"/>
      <c r="M13" s="46"/>
      <c r="N13" s="46"/>
      <c r="O13" s="46"/>
      <c r="P13" s="46"/>
      <c r="Q13" s="46"/>
      <c r="R13" s="46"/>
      <c r="S13" s="46"/>
      <c r="T13" s="46"/>
      <c r="U13" s="46"/>
      <c r="V13" s="46"/>
      <c r="W13" s="46"/>
      <c r="X13" s="46"/>
    </row>
    <row r="14" spans="1:32" s="49" customFormat="1" ht="49.5" customHeight="1" x14ac:dyDescent="0.25">
      <c r="B14" s="213" t="s">
        <v>24</v>
      </c>
      <c r="C14" s="213"/>
      <c r="D14" s="213"/>
      <c r="E14" s="213"/>
      <c r="F14" s="213"/>
      <c r="G14" s="213"/>
      <c r="H14" s="213"/>
      <c r="I14" s="213"/>
      <c r="J14" s="73"/>
      <c r="K14" s="73"/>
      <c r="L14" s="74"/>
      <c r="M14" s="48"/>
      <c r="N14" s="48"/>
      <c r="O14" s="48"/>
      <c r="P14" s="48"/>
      <c r="Q14" s="48"/>
      <c r="R14" s="48"/>
      <c r="S14" s="48"/>
      <c r="T14" s="48"/>
      <c r="U14" s="48"/>
      <c r="V14" s="48"/>
      <c r="W14" s="48"/>
      <c r="X14" s="48"/>
      <c r="Y14" s="48"/>
      <c r="Z14" s="48"/>
      <c r="AA14" s="48"/>
      <c r="AB14" s="48"/>
      <c r="AC14" s="48"/>
      <c r="AD14" s="48"/>
      <c r="AE14" s="48"/>
      <c r="AF14" s="48"/>
    </row>
    <row r="15" spans="1:32" s="49" customFormat="1" ht="123.75" customHeight="1" thickBot="1" x14ac:dyDescent="0.3">
      <c r="B15" s="77" t="s">
        <v>25</v>
      </c>
      <c r="C15" s="77" t="s">
        <v>6</v>
      </c>
      <c r="D15" s="78" t="s">
        <v>8</v>
      </c>
      <c r="E15" s="79" t="s">
        <v>26</v>
      </c>
      <c r="F15" s="79" t="s">
        <v>27</v>
      </c>
      <c r="G15" s="79" t="s">
        <v>28</v>
      </c>
      <c r="H15" s="80" t="s">
        <v>29</v>
      </c>
      <c r="I15" s="79" t="s">
        <v>30</v>
      </c>
      <c r="J15" s="73"/>
      <c r="K15" s="73"/>
      <c r="L15" s="74"/>
      <c r="M15" s="48"/>
      <c r="N15" s="48"/>
      <c r="O15" s="48"/>
      <c r="P15" s="48"/>
      <c r="Q15" s="48"/>
      <c r="R15" s="48"/>
      <c r="S15" s="48"/>
      <c r="T15" s="48"/>
      <c r="U15" s="48"/>
      <c r="V15" s="48"/>
      <c r="W15" s="48"/>
      <c r="X15" s="48"/>
      <c r="Y15" s="48"/>
      <c r="Z15" s="48"/>
      <c r="AA15" s="48"/>
      <c r="AB15" s="48"/>
      <c r="AC15" s="48"/>
      <c r="AD15" s="48"/>
      <c r="AE15" s="48"/>
      <c r="AF15" s="48"/>
    </row>
    <row r="16" spans="1:32" s="49" customFormat="1" ht="71.25" customHeight="1" x14ac:dyDescent="0.25">
      <c r="A16" s="103" t="str">
        <f>1&amp;E16</f>
        <v>1a</v>
      </c>
      <c r="B16" s="229" t="s">
        <v>31</v>
      </c>
      <c r="C16" s="239" t="s">
        <v>32</v>
      </c>
      <c r="D16" s="226" t="s">
        <v>33</v>
      </c>
      <c r="E16" s="81" t="s">
        <v>34</v>
      </c>
      <c r="F16" s="82" t="s">
        <v>35</v>
      </c>
      <c r="G16" s="112" t="s">
        <v>76</v>
      </c>
      <c r="H16" s="113" t="s">
        <v>193</v>
      </c>
      <c r="I16" s="104" t="str">
        <f>+IF(G16="Si","Mantenimiento del control",IF(G16="En proceso","Oportunidad de mejora","Deficiencia de control"))</f>
        <v>Oportunidad de mejora</v>
      </c>
      <c r="J16" s="105">
        <f t="shared" ref="J16:J27" si="0">+IF(G16="Si",20,IF(G16="En proceso",10,0))</f>
        <v>10</v>
      </c>
      <c r="K16" s="105">
        <v>0.123</v>
      </c>
      <c r="L16" s="105">
        <f>+J16+K16</f>
        <v>10.122999999999999</v>
      </c>
    </row>
    <row r="17" spans="1:32" s="49" customFormat="1" ht="63" x14ac:dyDescent="0.25">
      <c r="A17" s="103" t="str">
        <f t="shared" ref="A17:A27" si="1">1&amp;E17</f>
        <v>1b</v>
      </c>
      <c r="B17" s="230"/>
      <c r="C17" s="240"/>
      <c r="D17" s="227"/>
      <c r="E17" s="83" t="s">
        <v>37</v>
      </c>
      <c r="F17" s="84" t="s">
        <v>38</v>
      </c>
      <c r="G17" s="114" t="s">
        <v>39</v>
      </c>
      <c r="H17" s="115" t="s">
        <v>194</v>
      </c>
      <c r="I17" s="106" t="str">
        <f t="shared" ref="I17:I59" si="2">+IF(G17="Si","Mantenimiento del control",IF(G17="En proceso","Oportunidad de mejora","Deficiencia de control"))</f>
        <v>Mantenimiento del control</v>
      </c>
      <c r="J17" s="107">
        <f t="shared" si="0"/>
        <v>20</v>
      </c>
      <c r="K17" s="105">
        <v>0.1234</v>
      </c>
      <c r="L17" s="105">
        <f t="shared" ref="L17:L59" si="3">+J17+K17</f>
        <v>20.1234</v>
      </c>
    </row>
    <row r="18" spans="1:32" s="49" customFormat="1" ht="64.5" customHeight="1" x14ac:dyDescent="0.25">
      <c r="A18" s="103" t="str">
        <f t="shared" si="1"/>
        <v>1c</v>
      </c>
      <c r="B18" s="230"/>
      <c r="C18" s="240"/>
      <c r="D18" s="227"/>
      <c r="E18" s="83" t="s">
        <v>40</v>
      </c>
      <c r="F18" s="85" t="s">
        <v>41</v>
      </c>
      <c r="G18" s="116" t="s">
        <v>39</v>
      </c>
      <c r="H18" s="117" t="s">
        <v>195</v>
      </c>
      <c r="I18" s="108" t="str">
        <f t="shared" si="2"/>
        <v>Mantenimiento del control</v>
      </c>
      <c r="J18" s="107">
        <f t="shared" si="0"/>
        <v>20</v>
      </c>
      <c r="K18" s="105">
        <v>0.12345</v>
      </c>
      <c r="L18" s="105">
        <f t="shared" si="3"/>
        <v>20.123449999999998</v>
      </c>
    </row>
    <row r="19" spans="1:32" s="49" customFormat="1" ht="37.5" customHeight="1" x14ac:dyDescent="0.25">
      <c r="A19" s="103" t="str">
        <f t="shared" si="1"/>
        <v>1d</v>
      </c>
      <c r="B19" s="230"/>
      <c r="C19" s="240"/>
      <c r="D19" s="227"/>
      <c r="E19" s="83" t="s">
        <v>42</v>
      </c>
      <c r="F19" s="85" t="s">
        <v>43</v>
      </c>
      <c r="G19" s="116" t="s">
        <v>39</v>
      </c>
      <c r="H19" s="117" t="s">
        <v>196</v>
      </c>
      <c r="I19" s="108" t="str">
        <f t="shared" si="2"/>
        <v>Mantenimiento del control</v>
      </c>
      <c r="J19" s="107">
        <f t="shared" si="0"/>
        <v>20</v>
      </c>
      <c r="K19" s="105">
        <v>0.123456</v>
      </c>
      <c r="L19" s="105">
        <f t="shared" si="3"/>
        <v>20.123456000000001</v>
      </c>
    </row>
    <row r="20" spans="1:32" s="49" customFormat="1" ht="37.5" customHeight="1" x14ac:dyDescent="0.25">
      <c r="A20" s="103" t="str">
        <f t="shared" si="1"/>
        <v>1e</v>
      </c>
      <c r="B20" s="230"/>
      <c r="C20" s="240"/>
      <c r="D20" s="227"/>
      <c r="E20" s="83" t="s">
        <v>44</v>
      </c>
      <c r="F20" s="85" t="s">
        <v>45</v>
      </c>
      <c r="G20" s="116" t="s">
        <v>39</v>
      </c>
      <c r="H20" s="117" t="s">
        <v>197</v>
      </c>
      <c r="I20" s="108" t="str">
        <f t="shared" si="2"/>
        <v>Mantenimiento del control</v>
      </c>
      <c r="J20" s="107">
        <f t="shared" si="0"/>
        <v>20</v>
      </c>
      <c r="K20" s="105">
        <v>0.12345678</v>
      </c>
      <c r="L20" s="105">
        <f t="shared" si="3"/>
        <v>20.123456780000001</v>
      </c>
    </row>
    <row r="21" spans="1:32" s="49" customFormat="1" ht="63.75" customHeight="1" x14ac:dyDescent="0.25">
      <c r="A21" s="103" t="str">
        <f t="shared" si="1"/>
        <v>1f</v>
      </c>
      <c r="B21" s="230"/>
      <c r="C21" s="240"/>
      <c r="D21" s="227"/>
      <c r="E21" s="83" t="s">
        <v>46</v>
      </c>
      <c r="F21" s="85" t="s">
        <v>47</v>
      </c>
      <c r="G21" s="116" t="s">
        <v>39</v>
      </c>
      <c r="H21" s="117" t="s">
        <v>198</v>
      </c>
      <c r="I21" s="108" t="str">
        <f t="shared" si="2"/>
        <v>Mantenimiento del control</v>
      </c>
      <c r="J21" s="107">
        <f t="shared" si="0"/>
        <v>20</v>
      </c>
      <c r="K21" s="105">
        <v>0.123456789</v>
      </c>
      <c r="L21" s="105">
        <f t="shared" si="3"/>
        <v>20.123456788999999</v>
      </c>
    </row>
    <row r="22" spans="1:32" s="49" customFormat="1" ht="65.25" customHeight="1" x14ac:dyDescent="0.25">
      <c r="A22" s="103" t="str">
        <f t="shared" si="1"/>
        <v>1g</v>
      </c>
      <c r="B22" s="230"/>
      <c r="C22" s="240"/>
      <c r="D22" s="227"/>
      <c r="E22" s="83" t="s">
        <v>48</v>
      </c>
      <c r="F22" s="85" t="s">
        <v>49</v>
      </c>
      <c r="G22" s="116" t="s">
        <v>39</v>
      </c>
      <c r="H22" s="117" t="s">
        <v>199</v>
      </c>
      <c r="I22" s="108" t="str">
        <f t="shared" si="2"/>
        <v>Mantenimiento del control</v>
      </c>
      <c r="J22" s="107">
        <f t="shared" si="0"/>
        <v>20</v>
      </c>
      <c r="K22" s="105">
        <v>0.12345678910000001</v>
      </c>
      <c r="L22" s="105">
        <f t="shared" si="3"/>
        <v>20.1234567891</v>
      </c>
    </row>
    <row r="23" spans="1:32" s="49" customFormat="1" ht="62.25" customHeight="1" x14ac:dyDescent="0.25">
      <c r="A23" s="103" t="str">
        <f t="shared" si="1"/>
        <v>1h</v>
      </c>
      <c r="B23" s="230"/>
      <c r="C23" s="240"/>
      <c r="D23" s="227"/>
      <c r="E23" s="83" t="s">
        <v>50</v>
      </c>
      <c r="F23" s="85" t="s">
        <v>51</v>
      </c>
      <c r="G23" s="116" t="s">
        <v>76</v>
      </c>
      <c r="H23" s="117" t="s">
        <v>200</v>
      </c>
      <c r="I23" s="108" t="str">
        <f t="shared" si="2"/>
        <v>Oportunidad de mejora</v>
      </c>
      <c r="J23" s="107">
        <f t="shared" si="0"/>
        <v>10</v>
      </c>
      <c r="K23" s="105">
        <v>0.12345678911999999</v>
      </c>
      <c r="L23" s="105">
        <f t="shared" si="3"/>
        <v>10.12345678912</v>
      </c>
    </row>
    <row r="24" spans="1:32" s="49" customFormat="1" ht="57.75" customHeight="1" x14ac:dyDescent="0.25">
      <c r="A24" s="103" t="str">
        <f t="shared" si="1"/>
        <v>1i</v>
      </c>
      <c r="B24" s="230"/>
      <c r="C24" s="240"/>
      <c r="D24" s="227"/>
      <c r="E24" s="83" t="s">
        <v>52</v>
      </c>
      <c r="F24" s="85" t="s">
        <v>53</v>
      </c>
      <c r="G24" s="116" t="s">
        <v>76</v>
      </c>
      <c r="H24" s="117" t="s">
        <v>201</v>
      </c>
      <c r="I24" s="108" t="str">
        <f t="shared" si="2"/>
        <v>Oportunidad de mejora</v>
      </c>
      <c r="J24" s="107">
        <f t="shared" si="0"/>
        <v>10</v>
      </c>
      <c r="K24" s="105">
        <v>0.123456789123</v>
      </c>
      <c r="L24" s="105">
        <f t="shared" si="3"/>
        <v>10.123456789123001</v>
      </c>
    </row>
    <row r="25" spans="1:32" s="49" customFormat="1" ht="52.5" customHeight="1" x14ac:dyDescent="0.25">
      <c r="A25" s="103" t="str">
        <f t="shared" si="1"/>
        <v>1j</v>
      </c>
      <c r="B25" s="230"/>
      <c r="C25" s="240"/>
      <c r="D25" s="227"/>
      <c r="E25" s="83" t="s">
        <v>54</v>
      </c>
      <c r="F25" s="85" t="s">
        <v>55</v>
      </c>
      <c r="G25" s="116" t="s">
        <v>36</v>
      </c>
      <c r="H25" s="117" t="s">
        <v>202</v>
      </c>
      <c r="I25" s="108" t="str">
        <f t="shared" si="2"/>
        <v>Deficiencia de control</v>
      </c>
      <c r="J25" s="107">
        <f t="shared" si="0"/>
        <v>0</v>
      </c>
      <c r="K25" s="105">
        <v>0.1234567891234</v>
      </c>
      <c r="L25" s="105">
        <f t="shared" si="3"/>
        <v>0.1234567891234</v>
      </c>
    </row>
    <row r="26" spans="1:32" s="49" customFormat="1" ht="42" customHeight="1" x14ac:dyDescent="0.25">
      <c r="A26" s="103" t="str">
        <f t="shared" si="1"/>
        <v>1k</v>
      </c>
      <c r="B26" s="230"/>
      <c r="C26" s="240"/>
      <c r="D26" s="227"/>
      <c r="E26" s="83" t="s">
        <v>56</v>
      </c>
      <c r="F26" s="85" t="s">
        <v>57</v>
      </c>
      <c r="G26" s="116" t="s">
        <v>39</v>
      </c>
      <c r="H26" s="117" t="s">
        <v>203</v>
      </c>
      <c r="I26" s="108" t="str">
        <f t="shared" si="2"/>
        <v>Mantenimiento del control</v>
      </c>
      <c r="J26" s="107">
        <f t="shared" si="0"/>
        <v>20</v>
      </c>
      <c r="K26" s="105">
        <v>0.12345678912345</v>
      </c>
      <c r="L26" s="105">
        <f t="shared" si="3"/>
        <v>20.123456789123448</v>
      </c>
    </row>
    <row r="27" spans="1:32" s="49" customFormat="1" ht="50.25" thickBot="1" x14ac:dyDescent="0.3">
      <c r="A27" s="103" t="str">
        <f t="shared" si="1"/>
        <v>1l</v>
      </c>
      <c r="B27" s="231"/>
      <c r="C27" s="241"/>
      <c r="D27" s="228"/>
      <c r="E27" s="86" t="s">
        <v>58</v>
      </c>
      <c r="F27" s="87" t="s">
        <v>59</v>
      </c>
      <c r="G27" s="118" t="s">
        <v>39</v>
      </c>
      <c r="H27" s="119" t="s">
        <v>204</v>
      </c>
      <c r="I27" s="109" t="str">
        <f t="shared" si="2"/>
        <v>Mantenimiento del control</v>
      </c>
      <c r="J27" s="107">
        <f t="shared" si="0"/>
        <v>20</v>
      </c>
      <c r="K27" s="105">
        <v>0.12345678912345601</v>
      </c>
      <c r="L27" s="105">
        <f t="shared" si="3"/>
        <v>20.123456789123455</v>
      </c>
    </row>
    <row r="28" spans="1:32" s="49" customFormat="1" ht="44.25" customHeight="1" x14ac:dyDescent="0.25">
      <c r="A28" s="103" t="str">
        <f>2&amp;E28</f>
        <v>2a</v>
      </c>
      <c r="B28" s="232" t="s">
        <v>60</v>
      </c>
      <c r="C28" s="242" t="s">
        <v>61</v>
      </c>
      <c r="D28" s="235" t="s">
        <v>62</v>
      </c>
      <c r="E28" s="81" t="s">
        <v>34</v>
      </c>
      <c r="F28" s="82" t="s">
        <v>63</v>
      </c>
      <c r="G28" s="112" t="s">
        <v>39</v>
      </c>
      <c r="H28" s="113" t="s">
        <v>205</v>
      </c>
      <c r="I28" s="104" t="str">
        <f t="shared" si="2"/>
        <v>Mantenimiento del control</v>
      </c>
      <c r="J28" s="105">
        <f>+IF(G28="Si",40,IF(G28="En proceso",30,20))</f>
        <v>40</v>
      </c>
      <c r="K28" s="105">
        <v>0.23</v>
      </c>
      <c r="L28" s="105">
        <f t="shared" si="3"/>
        <v>40.229999999999997</v>
      </c>
    </row>
    <row r="29" spans="1:32" s="49" customFormat="1" ht="63" x14ac:dyDescent="0.25">
      <c r="A29" s="103" t="str">
        <f t="shared" ref="A29:A31" si="4">2&amp;E29</f>
        <v>2b</v>
      </c>
      <c r="B29" s="233"/>
      <c r="C29" s="243"/>
      <c r="D29" s="236"/>
      <c r="E29" s="83" t="s">
        <v>37</v>
      </c>
      <c r="F29" s="85" t="s">
        <v>64</v>
      </c>
      <c r="G29" s="116" t="s">
        <v>39</v>
      </c>
      <c r="H29" s="117" t="s">
        <v>206</v>
      </c>
      <c r="I29" s="108" t="str">
        <f t="shared" si="2"/>
        <v>Mantenimiento del control</v>
      </c>
      <c r="J29" s="105">
        <f>+IF(G29="Si",40,IF(G29="En proceso",30,20))</f>
        <v>40</v>
      </c>
      <c r="K29" s="105">
        <v>0.23400000000000001</v>
      </c>
      <c r="L29" s="105">
        <f t="shared" si="3"/>
        <v>40.234000000000002</v>
      </c>
    </row>
    <row r="30" spans="1:32" s="49" customFormat="1" ht="47.25" x14ac:dyDescent="0.25">
      <c r="A30" s="103" t="str">
        <f t="shared" si="4"/>
        <v>2c</v>
      </c>
      <c r="B30" s="233"/>
      <c r="C30" s="243"/>
      <c r="D30" s="236"/>
      <c r="E30" s="83" t="s">
        <v>40</v>
      </c>
      <c r="F30" s="85" t="s">
        <v>65</v>
      </c>
      <c r="G30" s="116" t="s">
        <v>76</v>
      </c>
      <c r="H30" s="117" t="s">
        <v>207</v>
      </c>
      <c r="I30" s="108" t="str">
        <f t="shared" si="2"/>
        <v>Oportunidad de mejora</v>
      </c>
      <c r="J30" s="105">
        <f>+IF(G30="Si",40,IF(G30="En proceso",30,20))</f>
        <v>30</v>
      </c>
      <c r="K30" s="105">
        <v>0.23449999999999999</v>
      </c>
      <c r="L30" s="105">
        <f t="shared" si="3"/>
        <v>30.234500000000001</v>
      </c>
    </row>
    <row r="31" spans="1:32" s="49" customFormat="1" ht="63.75" thickBot="1" x14ac:dyDescent="0.3">
      <c r="A31" s="103" t="str">
        <f t="shared" si="4"/>
        <v>2d</v>
      </c>
      <c r="B31" s="234"/>
      <c r="C31" s="244"/>
      <c r="D31" s="237"/>
      <c r="E31" s="86" t="s">
        <v>42</v>
      </c>
      <c r="F31" s="87" t="s">
        <v>66</v>
      </c>
      <c r="G31" s="118" t="s">
        <v>76</v>
      </c>
      <c r="H31" s="119" t="s">
        <v>208</v>
      </c>
      <c r="I31" s="109" t="str">
        <f t="shared" si="2"/>
        <v>Oportunidad de mejora</v>
      </c>
      <c r="J31" s="105">
        <f>+IF(G31="Si",40,IF(G31="En proceso",30,20))</f>
        <v>30</v>
      </c>
      <c r="K31" s="105">
        <v>0.23455999999999999</v>
      </c>
      <c r="L31" s="105">
        <f t="shared" si="3"/>
        <v>30.234559999999998</v>
      </c>
    </row>
    <row r="32" spans="1:32" s="49" customFormat="1" ht="49.5" customHeight="1" x14ac:dyDescent="0.25">
      <c r="A32" s="103" t="str">
        <f>3&amp;E32</f>
        <v>3a</v>
      </c>
      <c r="B32" s="254" t="s">
        <v>67</v>
      </c>
      <c r="C32" s="254" t="s">
        <v>61</v>
      </c>
      <c r="D32" s="255" t="s">
        <v>68</v>
      </c>
      <c r="E32" s="88" t="s">
        <v>34</v>
      </c>
      <c r="F32" s="85" t="s">
        <v>69</v>
      </c>
      <c r="G32" s="116" t="s">
        <v>76</v>
      </c>
      <c r="H32" s="117" t="s">
        <v>209</v>
      </c>
      <c r="I32" s="108" t="str">
        <f t="shared" si="2"/>
        <v>Oportunidad de mejora</v>
      </c>
      <c r="J32" s="105">
        <f t="shared" ref="J32:J37" si="5">+IF(G32="Si",40,IF(G32="En proceso",30,20))</f>
        <v>30</v>
      </c>
      <c r="K32" s="110">
        <v>0.234567</v>
      </c>
      <c r="L32" s="105">
        <f t="shared" ref="L32:L37" si="6">+J32+K32</f>
        <v>30.234566999999998</v>
      </c>
      <c r="M32" s="48"/>
      <c r="N32" s="48"/>
      <c r="O32" s="48"/>
      <c r="P32" s="48"/>
      <c r="Q32" s="48"/>
      <c r="R32" s="48"/>
      <c r="S32" s="48"/>
      <c r="T32" s="48"/>
      <c r="U32" s="48"/>
      <c r="V32" s="48"/>
      <c r="W32" s="48"/>
      <c r="X32" s="48"/>
      <c r="Y32" s="48"/>
      <c r="Z32" s="48"/>
      <c r="AA32" s="48"/>
      <c r="AB32" s="48"/>
      <c r="AC32" s="48"/>
      <c r="AD32" s="48"/>
      <c r="AE32" s="48"/>
      <c r="AF32" s="48"/>
    </row>
    <row r="33" spans="1:32" s="49" customFormat="1" ht="49.5" customHeight="1" x14ac:dyDescent="0.25">
      <c r="A33" s="103" t="str">
        <f t="shared" ref="A33:A34" si="7">3&amp;E33</f>
        <v>3b</v>
      </c>
      <c r="B33" s="254"/>
      <c r="C33" s="254"/>
      <c r="D33" s="255"/>
      <c r="E33" s="88" t="s">
        <v>37</v>
      </c>
      <c r="F33" s="85" t="s">
        <v>70</v>
      </c>
      <c r="G33" s="116" t="s">
        <v>76</v>
      </c>
      <c r="H33" s="117" t="s">
        <v>193</v>
      </c>
      <c r="I33" s="108" t="str">
        <f t="shared" si="2"/>
        <v>Oportunidad de mejora</v>
      </c>
      <c r="J33" s="105">
        <f t="shared" si="5"/>
        <v>30</v>
      </c>
      <c r="K33" s="110">
        <v>0.23456779999999999</v>
      </c>
      <c r="L33" s="105">
        <f t="shared" si="6"/>
        <v>30.234567800000001</v>
      </c>
      <c r="M33" s="48"/>
      <c r="N33" s="48"/>
      <c r="O33" s="48"/>
      <c r="P33" s="48"/>
      <c r="Q33" s="48"/>
      <c r="R33" s="48"/>
      <c r="S33" s="48"/>
      <c r="T33" s="48"/>
      <c r="U33" s="48"/>
      <c r="V33" s="48"/>
      <c r="W33" s="48"/>
      <c r="X33" s="48"/>
      <c r="Y33" s="48"/>
      <c r="Z33" s="48"/>
      <c r="AA33" s="48"/>
      <c r="AB33" s="48"/>
      <c r="AC33" s="48"/>
      <c r="AD33" s="48"/>
      <c r="AE33" s="48"/>
      <c r="AF33" s="48"/>
    </row>
    <row r="34" spans="1:32" s="49" customFormat="1" ht="66" customHeight="1" thickBot="1" x14ac:dyDescent="0.3">
      <c r="A34" s="103" t="str">
        <f t="shared" si="7"/>
        <v>3c</v>
      </c>
      <c r="B34" s="254"/>
      <c r="C34" s="254"/>
      <c r="D34" s="255"/>
      <c r="E34" s="88" t="s">
        <v>40</v>
      </c>
      <c r="F34" s="85" t="s">
        <v>71</v>
      </c>
      <c r="G34" s="116" t="s">
        <v>39</v>
      </c>
      <c r="H34" s="117" t="s">
        <v>210</v>
      </c>
      <c r="I34" s="108" t="str">
        <f t="shared" si="2"/>
        <v>Mantenimiento del control</v>
      </c>
      <c r="J34" s="105">
        <f t="shared" si="5"/>
        <v>40</v>
      </c>
      <c r="K34" s="110">
        <v>0.23456789</v>
      </c>
      <c r="L34" s="105">
        <f t="shared" si="6"/>
        <v>40.234567890000001</v>
      </c>
      <c r="M34" s="48"/>
      <c r="N34" s="48"/>
      <c r="O34" s="48"/>
      <c r="P34" s="48"/>
      <c r="Q34" s="48"/>
      <c r="R34" s="48"/>
      <c r="S34" s="48"/>
      <c r="T34" s="48"/>
      <c r="U34" s="48"/>
      <c r="V34" s="48"/>
      <c r="W34" s="48"/>
      <c r="X34" s="48"/>
      <c r="Y34" s="48"/>
      <c r="Z34" s="48"/>
      <c r="AA34" s="48"/>
      <c r="AB34" s="48"/>
      <c r="AC34" s="48"/>
      <c r="AD34" s="48"/>
      <c r="AE34" s="48"/>
      <c r="AF34" s="48"/>
    </row>
    <row r="35" spans="1:32" s="49" customFormat="1" ht="60.75" customHeight="1" x14ac:dyDescent="0.25">
      <c r="A35" s="103" t="str">
        <f>4&amp;E35</f>
        <v>4a</v>
      </c>
      <c r="B35" s="256" t="s">
        <v>72</v>
      </c>
      <c r="C35" s="243" t="s">
        <v>61</v>
      </c>
      <c r="D35" s="236" t="s">
        <v>73</v>
      </c>
      <c r="E35" s="81" t="s">
        <v>34</v>
      </c>
      <c r="F35" s="82" t="s">
        <v>74</v>
      </c>
      <c r="G35" s="112" t="s">
        <v>39</v>
      </c>
      <c r="H35" s="113" t="s">
        <v>211</v>
      </c>
      <c r="I35" s="104" t="str">
        <f t="shared" si="2"/>
        <v>Mantenimiento del control</v>
      </c>
      <c r="J35" s="105">
        <f t="shared" si="5"/>
        <v>40</v>
      </c>
      <c r="K35" s="110">
        <v>0.23456789119999999</v>
      </c>
      <c r="L35" s="105">
        <f t="shared" si="6"/>
        <v>40.234567891200001</v>
      </c>
      <c r="M35" s="48"/>
      <c r="N35" s="48"/>
      <c r="O35" s="48"/>
      <c r="P35" s="48"/>
      <c r="Q35" s="48"/>
    </row>
    <row r="36" spans="1:32" s="49" customFormat="1" ht="57.75" customHeight="1" x14ac:dyDescent="0.25">
      <c r="A36" s="103" t="str">
        <f t="shared" ref="A36:A37" si="8">4&amp;E36</f>
        <v>4b</v>
      </c>
      <c r="B36" s="256"/>
      <c r="C36" s="243"/>
      <c r="D36" s="236"/>
      <c r="E36" s="83" t="s">
        <v>37</v>
      </c>
      <c r="F36" s="85" t="s">
        <v>75</v>
      </c>
      <c r="G36" s="116" t="s">
        <v>36</v>
      </c>
      <c r="H36" s="117" t="s">
        <v>212</v>
      </c>
      <c r="I36" s="108" t="str">
        <f t="shared" si="2"/>
        <v>Deficiencia de control</v>
      </c>
      <c r="J36" s="105">
        <f t="shared" si="5"/>
        <v>20</v>
      </c>
      <c r="K36" s="110">
        <v>0.23456789122999999</v>
      </c>
      <c r="L36" s="105">
        <f t="shared" si="6"/>
        <v>20.23456789123</v>
      </c>
      <c r="M36" s="48"/>
      <c r="N36" s="48"/>
      <c r="O36" s="48"/>
      <c r="P36" s="48"/>
      <c r="Q36" s="48"/>
    </row>
    <row r="37" spans="1:32" s="49" customFormat="1" ht="49.5" customHeight="1" thickBot="1" x14ac:dyDescent="0.3">
      <c r="A37" s="103" t="str">
        <f t="shared" si="8"/>
        <v>4c</v>
      </c>
      <c r="B37" s="256"/>
      <c r="C37" s="243"/>
      <c r="D37" s="236"/>
      <c r="E37" s="83" t="s">
        <v>40</v>
      </c>
      <c r="F37" s="85" t="s">
        <v>77</v>
      </c>
      <c r="G37" s="116" t="s">
        <v>36</v>
      </c>
      <c r="H37" s="117" t="s">
        <v>213</v>
      </c>
      <c r="I37" s="108" t="str">
        <f t="shared" si="2"/>
        <v>Deficiencia de control</v>
      </c>
      <c r="J37" s="105">
        <f t="shared" si="5"/>
        <v>20</v>
      </c>
      <c r="K37" s="110">
        <v>0.23456789123399999</v>
      </c>
      <c r="L37" s="105">
        <f t="shared" si="6"/>
        <v>20.234567891234001</v>
      </c>
      <c r="M37" s="48"/>
      <c r="N37" s="48"/>
      <c r="O37" s="48"/>
      <c r="P37" s="48"/>
      <c r="Q37" s="48"/>
    </row>
    <row r="38" spans="1:32" s="49" customFormat="1" ht="85.5" customHeight="1" x14ac:dyDescent="0.25">
      <c r="A38" s="103" t="str">
        <f>5&amp;E38</f>
        <v>5a</v>
      </c>
      <c r="B38" s="257" t="s">
        <v>78</v>
      </c>
      <c r="C38" s="245" t="s">
        <v>79</v>
      </c>
      <c r="D38" s="260" t="s">
        <v>80</v>
      </c>
      <c r="E38" s="81" t="s">
        <v>34</v>
      </c>
      <c r="F38" s="89" t="s">
        <v>81</v>
      </c>
      <c r="G38" s="120" t="s">
        <v>39</v>
      </c>
      <c r="H38" s="121" t="s">
        <v>214</v>
      </c>
      <c r="I38" s="111" t="str">
        <f t="shared" si="2"/>
        <v>Mantenimiento del control</v>
      </c>
      <c r="J38" s="105">
        <f>+IF(G38="Si",60,IF(G38="En proceso",50,40))</f>
        <v>60</v>
      </c>
      <c r="K38" s="105">
        <v>0.31</v>
      </c>
      <c r="L38" s="105">
        <f t="shared" si="3"/>
        <v>60.31</v>
      </c>
    </row>
    <row r="39" spans="1:32" s="49" customFormat="1" ht="63" x14ac:dyDescent="0.25">
      <c r="A39" s="103" t="str">
        <f t="shared" ref="A39:A42" si="9">5&amp;E39</f>
        <v>5b</v>
      </c>
      <c r="B39" s="258"/>
      <c r="C39" s="246"/>
      <c r="D39" s="261"/>
      <c r="E39" s="83" t="s">
        <v>37</v>
      </c>
      <c r="F39" s="85" t="s">
        <v>82</v>
      </c>
      <c r="G39" s="116" t="s">
        <v>76</v>
      </c>
      <c r="H39" s="117" t="s">
        <v>215</v>
      </c>
      <c r="I39" s="108" t="str">
        <f t="shared" si="2"/>
        <v>Oportunidad de mejora</v>
      </c>
      <c r="J39" s="105">
        <f>+IF(G39="Si",60,IF(G39="En proceso",50,40))</f>
        <v>50</v>
      </c>
      <c r="K39" s="105">
        <v>0.32300000000000001</v>
      </c>
      <c r="L39" s="105">
        <f t="shared" si="3"/>
        <v>50.323</v>
      </c>
    </row>
    <row r="40" spans="1:32" s="49" customFormat="1" ht="49.5" x14ac:dyDescent="0.25">
      <c r="A40" s="103" t="str">
        <f t="shared" si="9"/>
        <v>5c</v>
      </c>
      <c r="B40" s="258"/>
      <c r="C40" s="246"/>
      <c r="D40" s="261"/>
      <c r="E40" s="83" t="s">
        <v>40</v>
      </c>
      <c r="F40" s="85" t="s">
        <v>83</v>
      </c>
      <c r="G40" s="116" t="s">
        <v>76</v>
      </c>
      <c r="H40" s="117" t="s">
        <v>216</v>
      </c>
      <c r="I40" s="108" t="str">
        <f t="shared" si="2"/>
        <v>Oportunidad de mejora</v>
      </c>
      <c r="J40" s="105">
        <f>+IF(G40="Si",60,IF(G40="En proceso",50,40))</f>
        <v>50</v>
      </c>
      <c r="K40" s="105">
        <v>0.32400000000000001</v>
      </c>
      <c r="L40" s="105">
        <f t="shared" si="3"/>
        <v>50.323999999999998</v>
      </c>
    </row>
    <row r="41" spans="1:32" s="49" customFormat="1" ht="94.5" x14ac:dyDescent="0.25">
      <c r="A41" s="103" t="str">
        <f t="shared" si="9"/>
        <v>5d</v>
      </c>
      <c r="B41" s="258"/>
      <c r="C41" s="246"/>
      <c r="D41" s="261"/>
      <c r="E41" s="83" t="s">
        <v>42</v>
      </c>
      <c r="F41" s="85" t="s">
        <v>84</v>
      </c>
      <c r="G41" s="116" t="s">
        <v>76</v>
      </c>
      <c r="H41" s="117" t="s">
        <v>193</v>
      </c>
      <c r="I41" s="108" t="str">
        <f t="shared" si="2"/>
        <v>Oportunidad de mejora</v>
      </c>
      <c r="J41" s="105">
        <f>+IF(G41="Si",60,IF(G41="En proceso",50,40))</f>
        <v>50</v>
      </c>
      <c r="K41" s="105">
        <v>0.32500000000000001</v>
      </c>
      <c r="L41" s="105">
        <f t="shared" si="3"/>
        <v>50.325000000000003</v>
      </c>
    </row>
    <row r="42" spans="1:32" s="49" customFormat="1" ht="48" thickBot="1" x14ac:dyDescent="0.3">
      <c r="A42" s="103" t="str">
        <f t="shared" si="9"/>
        <v>5e</v>
      </c>
      <c r="B42" s="259"/>
      <c r="C42" s="247"/>
      <c r="D42" s="262"/>
      <c r="E42" s="86" t="s">
        <v>44</v>
      </c>
      <c r="F42" s="87" t="s">
        <v>85</v>
      </c>
      <c r="G42" s="118" t="s">
        <v>39</v>
      </c>
      <c r="H42" s="119" t="s">
        <v>217</v>
      </c>
      <c r="I42" s="109" t="str">
        <f t="shared" si="2"/>
        <v>Mantenimiento del control</v>
      </c>
      <c r="J42" s="105">
        <f>+IF(G42="Si",60,IF(G42="En proceso",50,40))</f>
        <v>60</v>
      </c>
      <c r="K42" s="105">
        <v>0.32600000000000001</v>
      </c>
      <c r="L42" s="105">
        <f t="shared" si="3"/>
        <v>60.326000000000001</v>
      </c>
    </row>
    <row r="43" spans="1:32" s="49" customFormat="1" ht="40.5" customHeight="1" x14ac:dyDescent="0.25">
      <c r="A43" s="103" t="str">
        <f>6&amp;E43</f>
        <v>6a</v>
      </c>
      <c r="B43" s="217" t="s">
        <v>86</v>
      </c>
      <c r="C43" s="248" t="s">
        <v>87</v>
      </c>
      <c r="D43" s="214" t="s">
        <v>88</v>
      </c>
      <c r="E43" s="81" t="s">
        <v>34</v>
      </c>
      <c r="F43" s="82" t="s">
        <v>89</v>
      </c>
      <c r="G43" s="112" t="s">
        <v>39</v>
      </c>
      <c r="H43" s="113" t="s">
        <v>218</v>
      </c>
      <c r="I43" s="104" t="str">
        <f t="shared" si="2"/>
        <v>Mantenimiento del control</v>
      </c>
      <c r="J43" s="105">
        <f t="shared" ref="J43:J49" si="10">+IF(G43="Si",80,IF(G43="En proceso",70,60))</f>
        <v>80</v>
      </c>
      <c r="K43" s="105">
        <v>0.41199999999999998</v>
      </c>
      <c r="L43" s="105">
        <f t="shared" si="3"/>
        <v>80.412000000000006</v>
      </c>
    </row>
    <row r="44" spans="1:32" s="49" customFormat="1" ht="33" customHeight="1" x14ac:dyDescent="0.25">
      <c r="A44" s="103" t="str">
        <f t="shared" ref="A44:A49" si="11">6&amp;E44</f>
        <v>6b</v>
      </c>
      <c r="B44" s="218"/>
      <c r="C44" s="249"/>
      <c r="D44" s="215"/>
      <c r="E44" s="83" t="s">
        <v>37</v>
      </c>
      <c r="F44" s="85" t="s">
        <v>90</v>
      </c>
      <c r="G44" s="116" t="s">
        <v>39</v>
      </c>
      <c r="H44" s="117" t="s">
        <v>219</v>
      </c>
      <c r="I44" s="108" t="str">
        <f t="shared" si="2"/>
        <v>Mantenimiento del control</v>
      </c>
      <c r="J44" s="105">
        <f t="shared" si="10"/>
        <v>80</v>
      </c>
      <c r="K44" s="105">
        <v>0.4123</v>
      </c>
      <c r="L44" s="105">
        <f t="shared" si="3"/>
        <v>80.412300000000002</v>
      </c>
    </row>
    <row r="45" spans="1:32" s="49" customFormat="1" ht="47.25" x14ac:dyDescent="0.25">
      <c r="A45" s="103" t="str">
        <f t="shared" si="11"/>
        <v>6c</v>
      </c>
      <c r="B45" s="218"/>
      <c r="C45" s="249"/>
      <c r="D45" s="215"/>
      <c r="E45" s="83" t="s">
        <v>40</v>
      </c>
      <c r="F45" s="85" t="s">
        <v>91</v>
      </c>
      <c r="G45" s="116" t="s">
        <v>39</v>
      </c>
      <c r="H45" s="117" t="s">
        <v>192</v>
      </c>
      <c r="I45" s="108" t="str">
        <f t="shared" si="2"/>
        <v>Mantenimiento del control</v>
      </c>
      <c r="J45" s="105">
        <f t="shared" si="10"/>
        <v>80</v>
      </c>
      <c r="K45" s="105">
        <v>0.41233999999999998</v>
      </c>
      <c r="L45" s="105">
        <f t="shared" si="3"/>
        <v>80.41234</v>
      </c>
    </row>
    <row r="46" spans="1:32" s="49" customFormat="1" ht="31.5" x14ac:dyDescent="0.25">
      <c r="A46" s="103" t="str">
        <f t="shared" si="11"/>
        <v>6d</v>
      </c>
      <c r="B46" s="218"/>
      <c r="C46" s="249"/>
      <c r="D46" s="215"/>
      <c r="E46" s="83" t="s">
        <v>42</v>
      </c>
      <c r="F46" s="85" t="s">
        <v>92</v>
      </c>
      <c r="G46" s="116" t="s">
        <v>39</v>
      </c>
      <c r="H46" s="117" t="s">
        <v>220</v>
      </c>
      <c r="I46" s="108" t="str">
        <f t="shared" si="2"/>
        <v>Mantenimiento del control</v>
      </c>
      <c r="J46" s="105">
        <f t="shared" si="10"/>
        <v>80</v>
      </c>
      <c r="K46" s="105">
        <v>0.41234500000000002</v>
      </c>
      <c r="L46" s="105">
        <f t="shared" si="3"/>
        <v>80.412345000000002</v>
      </c>
    </row>
    <row r="47" spans="1:32" s="49" customFormat="1" ht="63" x14ac:dyDescent="0.25">
      <c r="A47" s="103" t="str">
        <f t="shared" si="11"/>
        <v>6e</v>
      </c>
      <c r="B47" s="218"/>
      <c r="C47" s="249"/>
      <c r="D47" s="215"/>
      <c r="E47" s="83" t="s">
        <v>44</v>
      </c>
      <c r="F47" s="85" t="s">
        <v>93</v>
      </c>
      <c r="G47" s="116" t="s">
        <v>39</v>
      </c>
      <c r="H47" s="117" t="s">
        <v>221</v>
      </c>
      <c r="I47" s="108" t="str">
        <f t="shared" si="2"/>
        <v>Mantenimiento del control</v>
      </c>
      <c r="J47" s="105">
        <f t="shared" si="10"/>
        <v>80</v>
      </c>
      <c r="K47" s="105">
        <v>0.41234559999999998</v>
      </c>
      <c r="L47" s="105">
        <f t="shared" si="3"/>
        <v>80.412345599999995</v>
      </c>
    </row>
    <row r="48" spans="1:32" s="49" customFormat="1" ht="63" x14ac:dyDescent="0.25">
      <c r="A48" s="103" t="str">
        <f t="shared" si="11"/>
        <v>6f</v>
      </c>
      <c r="B48" s="218"/>
      <c r="C48" s="249"/>
      <c r="D48" s="215"/>
      <c r="E48" s="83" t="s">
        <v>46</v>
      </c>
      <c r="F48" s="85" t="s">
        <v>94</v>
      </c>
      <c r="G48" s="116" t="s">
        <v>39</v>
      </c>
      <c r="H48" s="117" t="s">
        <v>222</v>
      </c>
      <c r="I48" s="108" t="str">
        <f t="shared" si="2"/>
        <v>Mantenimiento del control</v>
      </c>
      <c r="J48" s="105">
        <f t="shared" si="10"/>
        <v>80</v>
      </c>
      <c r="K48" s="105">
        <v>0.41234567</v>
      </c>
      <c r="L48" s="105">
        <f t="shared" si="3"/>
        <v>80.412345669999993</v>
      </c>
    </row>
    <row r="49" spans="1:17" s="49" customFormat="1" ht="48" thickBot="1" x14ac:dyDescent="0.3">
      <c r="A49" s="103" t="str">
        <f t="shared" si="11"/>
        <v>6g</v>
      </c>
      <c r="B49" s="219"/>
      <c r="C49" s="250"/>
      <c r="D49" s="216"/>
      <c r="E49" s="86" t="s">
        <v>48</v>
      </c>
      <c r="F49" s="87" t="s">
        <v>95</v>
      </c>
      <c r="G49" s="118" t="s">
        <v>39</v>
      </c>
      <c r="H49" s="119" t="s">
        <v>223</v>
      </c>
      <c r="I49" s="109" t="str">
        <f t="shared" si="2"/>
        <v>Mantenimiento del control</v>
      </c>
      <c r="J49" s="105">
        <f t="shared" si="10"/>
        <v>80</v>
      </c>
      <c r="K49" s="105">
        <v>0.41234567799999999</v>
      </c>
      <c r="L49" s="105">
        <f t="shared" si="3"/>
        <v>80.412345677999994</v>
      </c>
    </row>
    <row r="50" spans="1:17" s="49" customFormat="1" ht="54.75" customHeight="1" x14ac:dyDescent="0.25">
      <c r="A50" s="103" t="str">
        <f>7&amp;E50</f>
        <v>7a</v>
      </c>
      <c r="B50" s="223" t="s">
        <v>96</v>
      </c>
      <c r="C50" s="251" t="s">
        <v>97</v>
      </c>
      <c r="D50" s="220" t="s">
        <v>98</v>
      </c>
      <c r="E50" s="81" t="s">
        <v>34</v>
      </c>
      <c r="F50" s="82" t="s">
        <v>99</v>
      </c>
      <c r="G50" s="112" t="s">
        <v>76</v>
      </c>
      <c r="H50" s="113" t="s">
        <v>224</v>
      </c>
      <c r="I50" s="104" t="str">
        <f t="shared" si="2"/>
        <v>Oportunidad de mejora</v>
      </c>
      <c r="J50" s="105">
        <f>+IF(G50="Si",120,IF(G50="En proceso",100,80))</f>
        <v>100</v>
      </c>
      <c r="K50" s="105">
        <v>0.85099999999999998</v>
      </c>
      <c r="L50" s="105">
        <f t="shared" si="3"/>
        <v>100.851</v>
      </c>
    </row>
    <row r="51" spans="1:17" s="49" customFormat="1" ht="94.5" x14ac:dyDescent="0.25">
      <c r="A51" s="103" t="str">
        <f t="shared" ref="A51:A53" si="12">7&amp;E51</f>
        <v>7d</v>
      </c>
      <c r="B51" s="224"/>
      <c r="C51" s="252"/>
      <c r="D51" s="221"/>
      <c r="E51" s="83" t="s">
        <v>42</v>
      </c>
      <c r="F51" s="85" t="s">
        <v>100</v>
      </c>
      <c r="G51" s="116" t="s">
        <v>36</v>
      </c>
      <c r="H51" s="117" t="s">
        <v>225</v>
      </c>
      <c r="I51" s="108" t="str">
        <f t="shared" si="2"/>
        <v>Deficiencia de control</v>
      </c>
      <c r="J51" s="105">
        <f t="shared" ref="J51:J59" si="13">+IF(G51="Si",120,IF(G51="En proceso",100,80))</f>
        <v>80</v>
      </c>
      <c r="K51" s="105">
        <v>0.85119999999999996</v>
      </c>
      <c r="L51" s="105">
        <f t="shared" si="3"/>
        <v>80.851200000000006</v>
      </c>
    </row>
    <row r="52" spans="1:17" s="49" customFormat="1" ht="47.25" x14ac:dyDescent="0.25">
      <c r="A52" s="103" t="str">
        <f t="shared" si="12"/>
        <v>7f</v>
      </c>
      <c r="B52" s="224"/>
      <c r="C52" s="252"/>
      <c r="D52" s="221"/>
      <c r="E52" s="83" t="s">
        <v>46</v>
      </c>
      <c r="F52" s="85" t="s">
        <v>101</v>
      </c>
      <c r="G52" s="116" t="s">
        <v>76</v>
      </c>
      <c r="H52" s="117" t="s">
        <v>226</v>
      </c>
      <c r="I52" s="108" t="str">
        <f t="shared" si="2"/>
        <v>Oportunidad de mejora</v>
      </c>
      <c r="J52" s="105">
        <f t="shared" si="13"/>
        <v>100</v>
      </c>
      <c r="K52" s="105">
        <v>0.85123000000000004</v>
      </c>
      <c r="L52" s="105">
        <f t="shared" si="3"/>
        <v>100.85123</v>
      </c>
    </row>
    <row r="53" spans="1:17" s="49" customFormat="1" ht="50.25" thickBot="1" x14ac:dyDescent="0.3">
      <c r="A53" s="103" t="str">
        <f t="shared" si="12"/>
        <v>7g</v>
      </c>
      <c r="B53" s="225"/>
      <c r="C53" s="253"/>
      <c r="D53" s="222"/>
      <c r="E53" s="86" t="s">
        <v>48</v>
      </c>
      <c r="F53" s="87" t="s">
        <v>102</v>
      </c>
      <c r="G53" s="118" t="s">
        <v>39</v>
      </c>
      <c r="H53" s="119" t="s">
        <v>227</v>
      </c>
      <c r="I53" s="109" t="str">
        <f t="shared" si="2"/>
        <v>Mantenimiento del control</v>
      </c>
      <c r="J53" s="105">
        <f t="shared" si="13"/>
        <v>120</v>
      </c>
      <c r="K53" s="105">
        <v>0.85123400000000005</v>
      </c>
      <c r="L53" s="105">
        <f t="shared" si="3"/>
        <v>120.85123400000001</v>
      </c>
    </row>
    <row r="54" spans="1:17" s="49" customFormat="1" ht="102.75" customHeight="1" thickBot="1" x14ac:dyDescent="0.3">
      <c r="A54" s="103" t="str">
        <f>8&amp;E54</f>
        <v>8h</v>
      </c>
      <c r="B54" s="162" t="s">
        <v>103</v>
      </c>
      <c r="C54" s="163" t="s">
        <v>97</v>
      </c>
      <c r="D54" s="76" t="s">
        <v>104</v>
      </c>
      <c r="E54" s="81" t="s">
        <v>50</v>
      </c>
      <c r="F54" s="82" t="s">
        <v>105</v>
      </c>
      <c r="G54" s="112" t="s">
        <v>36</v>
      </c>
      <c r="H54" s="113" t="s">
        <v>228</v>
      </c>
      <c r="I54" s="104" t="str">
        <f t="shared" si="2"/>
        <v>Deficiencia de control</v>
      </c>
      <c r="J54" s="105">
        <f t="shared" si="13"/>
        <v>80</v>
      </c>
      <c r="K54" s="105">
        <v>0.85123450000000001</v>
      </c>
      <c r="L54" s="105">
        <f t="shared" si="3"/>
        <v>80.851234500000004</v>
      </c>
    </row>
    <row r="55" spans="1:17" s="49" customFormat="1" ht="54.75" customHeight="1" x14ac:dyDescent="0.25">
      <c r="A55" s="103" t="str">
        <f>9&amp;E55</f>
        <v>9a</v>
      </c>
      <c r="B55" s="223" t="s">
        <v>106</v>
      </c>
      <c r="C55" s="251" t="s">
        <v>97</v>
      </c>
      <c r="D55" s="220" t="s">
        <v>107</v>
      </c>
      <c r="E55" s="81" t="s">
        <v>34</v>
      </c>
      <c r="F55" s="82" t="s">
        <v>108</v>
      </c>
      <c r="G55" s="112" t="s">
        <v>39</v>
      </c>
      <c r="H55" s="113" t="s">
        <v>229</v>
      </c>
      <c r="I55" s="104" t="str">
        <f t="shared" si="2"/>
        <v>Mantenimiento del control</v>
      </c>
      <c r="J55" s="105">
        <f t="shared" si="13"/>
        <v>120</v>
      </c>
      <c r="K55" s="110">
        <v>0.85123455999999997</v>
      </c>
      <c r="L55" s="105">
        <f t="shared" si="3"/>
        <v>120.85123455999999</v>
      </c>
      <c r="M55" s="48"/>
      <c r="N55" s="48"/>
      <c r="O55" s="48"/>
      <c r="P55" s="48"/>
      <c r="Q55" s="48"/>
    </row>
    <row r="56" spans="1:17" s="49" customFormat="1" ht="55.5" customHeight="1" x14ac:dyDescent="0.25">
      <c r="A56" s="103" t="str">
        <f t="shared" ref="A56:A59" si="14">9&amp;E56</f>
        <v>9b</v>
      </c>
      <c r="B56" s="224"/>
      <c r="C56" s="252"/>
      <c r="D56" s="221"/>
      <c r="E56" s="83" t="s">
        <v>37</v>
      </c>
      <c r="F56" s="85" t="s">
        <v>109</v>
      </c>
      <c r="G56" s="116" t="s">
        <v>39</v>
      </c>
      <c r="H56" s="117" t="s">
        <v>230</v>
      </c>
      <c r="I56" s="108" t="str">
        <f t="shared" si="2"/>
        <v>Mantenimiento del control</v>
      </c>
      <c r="J56" s="105">
        <f t="shared" si="13"/>
        <v>120</v>
      </c>
      <c r="K56" s="110">
        <v>0.851234567</v>
      </c>
      <c r="L56" s="105">
        <f t="shared" si="3"/>
        <v>120.85123456700001</v>
      </c>
      <c r="M56" s="48"/>
      <c r="N56" s="48"/>
      <c r="O56" s="48"/>
      <c r="P56" s="48"/>
      <c r="Q56" s="48"/>
    </row>
    <row r="57" spans="1:17" s="49" customFormat="1" ht="77.25" customHeight="1" x14ac:dyDescent="0.25">
      <c r="A57" s="103" t="str">
        <f t="shared" si="14"/>
        <v>9c</v>
      </c>
      <c r="B57" s="224"/>
      <c r="C57" s="252"/>
      <c r="D57" s="221"/>
      <c r="E57" s="83" t="s">
        <v>40</v>
      </c>
      <c r="F57" s="85" t="s">
        <v>110</v>
      </c>
      <c r="G57" s="116" t="s">
        <v>76</v>
      </c>
      <c r="H57" s="117" t="s">
        <v>231</v>
      </c>
      <c r="I57" s="108" t="str">
        <f t="shared" si="2"/>
        <v>Oportunidad de mejora</v>
      </c>
      <c r="J57" s="105">
        <f t="shared" si="13"/>
        <v>100</v>
      </c>
      <c r="K57" s="110">
        <v>0.85123456779999995</v>
      </c>
      <c r="L57" s="105">
        <f t="shared" si="3"/>
        <v>100.85123456780001</v>
      </c>
      <c r="M57" s="48"/>
      <c r="N57" s="48"/>
      <c r="O57" s="48"/>
      <c r="P57" s="48"/>
      <c r="Q57" s="48"/>
    </row>
    <row r="58" spans="1:17" s="49" customFormat="1" ht="77.25" customHeight="1" x14ac:dyDescent="0.25">
      <c r="A58" s="103" t="str">
        <f t="shared" si="14"/>
        <v>9d</v>
      </c>
      <c r="B58" s="224"/>
      <c r="C58" s="252"/>
      <c r="D58" s="221"/>
      <c r="E58" s="83" t="s">
        <v>42</v>
      </c>
      <c r="F58" s="85" t="s">
        <v>111</v>
      </c>
      <c r="G58" s="116" t="s">
        <v>76</v>
      </c>
      <c r="H58" s="117" t="s">
        <v>232</v>
      </c>
      <c r="I58" s="108" t="str">
        <f t="shared" si="2"/>
        <v>Oportunidad de mejora</v>
      </c>
      <c r="J58" s="105">
        <f t="shared" si="13"/>
        <v>100</v>
      </c>
      <c r="K58" s="110">
        <v>0.85123456788999996</v>
      </c>
      <c r="L58" s="105">
        <f t="shared" si="3"/>
        <v>100.85123456789</v>
      </c>
      <c r="M58" s="48"/>
      <c r="N58" s="48"/>
      <c r="O58" s="48"/>
      <c r="P58" s="48"/>
      <c r="Q58" s="48"/>
    </row>
    <row r="59" spans="1:17" s="49" customFormat="1" ht="77.25" customHeight="1" thickBot="1" x14ac:dyDescent="0.3">
      <c r="A59" s="103" t="str">
        <f t="shared" si="14"/>
        <v>9e</v>
      </c>
      <c r="B59" s="225"/>
      <c r="C59" s="252"/>
      <c r="D59" s="238"/>
      <c r="E59" s="86" t="s">
        <v>44</v>
      </c>
      <c r="F59" s="87" t="s">
        <v>112</v>
      </c>
      <c r="G59" s="118" t="s">
        <v>39</v>
      </c>
      <c r="H59" s="119" t="s">
        <v>233</v>
      </c>
      <c r="I59" s="109" t="str">
        <f t="shared" si="2"/>
        <v>Mantenimiento del control</v>
      </c>
      <c r="J59" s="105">
        <f t="shared" si="13"/>
        <v>120</v>
      </c>
      <c r="K59" s="110">
        <v>0.85123456789100005</v>
      </c>
      <c r="L59" s="105">
        <f t="shared" si="3"/>
        <v>120.851234567891</v>
      </c>
      <c r="M59" s="48"/>
      <c r="N59" s="48"/>
      <c r="O59" s="48"/>
      <c r="P59" s="48"/>
      <c r="Q59" s="48"/>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 ref="B14:I14"/>
    <mergeCell ref="D43:D49"/>
    <mergeCell ref="B43:B49"/>
    <mergeCell ref="D50:D53"/>
    <mergeCell ref="B50:B53"/>
    <mergeCell ref="D16:D27"/>
    <mergeCell ref="B16:B27"/>
    <mergeCell ref="B28:B31"/>
    <mergeCell ref="D28:D31"/>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zoomScale="80" zoomScaleNormal="80" workbookViewId="0">
      <selection activeCell="J19" sqref="J19:J30"/>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263" t="s">
        <v>113</v>
      </c>
      <c r="D7" s="264"/>
      <c r="E7" s="264"/>
      <c r="F7" s="264"/>
      <c r="G7" s="264"/>
      <c r="H7" s="264"/>
      <c r="I7" s="264"/>
      <c r="J7" s="264"/>
      <c r="K7" s="265"/>
    </row>
    <row r="8" spans="1:11" s="1" customFormat="1" ht="15.75" thickBot="1" x14ac:dyDescent="0.3">
      <c r="C8" s="39"/>
      <c r="D8" s="39"/>
      <c r="E8" s="40"/>
      <c r="F8" s="40"/>
      <c r="G8" s="40"/>
      <c r="H8" s="40"/>
      <c r="I8" s="50"/>
      <c r="J8" s="40"/>
      <c r="K8" s="40"/>
    </row>
    <row r="9" spans="1:11" ht="21" thickBot="1" x14ac:dyDescent="0.3">
      <c r="A9" s="1"/>
      <c r="B9" s="1"/>
      <c r="C9" s="172" t="s">
        <v>15</v>
      </c>
      <c r="D9" s="173"/>
      <c r="E9" s="173" t="s">
        <v>16</v>
      </c>
      <c r="F9" s="184"/>
      <c r="G9" s="40"/>
      <c r="H9" s="40"/>
      <c r="I9" s="50"/>
      <c r="J9" s="40"/>
      <c r="K9" s="40"/>
    </row>
    <row r="10" spans="1:11" ht="54" customHeight="1" x14ac:dyDescent="0.25">
      <c r="A10" s="1"/>
      <c r="B10" s="1"/>
      <c r="C10" s="185" t="s">
        <v>17</v>
      </c>
      <c r="D10" s="186"/>
      <c r="E10" s="187" t="s">
        <v>18</v>
      </c>
      <c r="F10" s="188"/>
      <c r="G10" s="41"/>
      <c r="H10" s="42">
        <v>1</v>
      </c>
      <c r="I10" s="50"/>
      <c r="J10" s="40"/>
      <c r="K10" s="40"/>
    </row>
    <row r="11" spans="1:11" ht="46.5" customHeight="1" x14ac:dyDescent="0.25">
      <c r="A11" s="1"/>
      <c r="B11" s="1"/>
      <c r="C11" s="174" t="s">
        <v>19</v>
      </c>
      <c r="D11" s="175"/>
      <c r="E11" s="176" t="s">
        <v>114</v>
      </c>
      <c r="F11" s="177"/>
      <c r="G11" s="43" t="s">
        <v>115</v>
      </c>
      <c r="H11" s="42">
        <v>0.75</v>
      </c>
      <c r="I11" s="50"/>
      <c r="J11" s="40"/>
      <c r="K11" s="40"/>
    </row>
    <row r="12" spans="1:11" ht="70.5" customHeight="1" thickBot="1" x14ac:dyDescent="0.3">
      <c r="A12" s="1"/>
      <c r="B12" s="1"/>
      <c r="C12" s="178" t="s">
        <v>21</v>
      </c>
      <c r="D12" s="179"/>
      <c r="E12" s="180" t="s">
        <v>116</v>
      </c>
      <c r="F12" s="181"/>
      <c r="G12" s="44"/>
      <c r="H12" s="42">
        <v>0.25</v>
      </c>
      <c r="I12" s="50"/>
      <c r="J12" s="40"/>
      <c r="K12" s="40"/>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71" t="s">
        <v>117</v>
      </c>
      <c r="D17" s="273" t="s">
        <v>118</v>
      </c>
      <c r="E17" s="274"/>
      <c r="F17" s="275" t="s">
        <v>119</v>
      </c>
      <c r="G17" s="277" t="s">
        <v>120</v>
      </c>
      <c r="H17" s="38"/>
      <c r="I17" s="266" t="s">
        <v>121</v>
      </c>
      <c r="J17" s="266" t="s">
        <v>122</v>
      </c>
    </row>
    <row r="18" spans="1:10" ht="36" customHeight="1" thickBot="1" x14ac:dyDescent="0.3">
      <c r="A18" s="1"/>
      <c r="B18" s="1"/>
      <c r="C18" s="272"/>
      <c r="D18" s="122" t="s">
        <v>123</v>
      </c>
      <c r="E18" s="123" t="s">
        <v>27</v>
      </c>
      <c r="F18" s="276"/>
      <c r="G18" s="278"/>
      <c r="H18" s="38"/>
      <c r="I18" s="267"/>
      <c r="J18" s="267"/>
    </row>
    <row r="19" spans="1:10" ht="65.25" customHeight="1" x14ac:dyDescent="0.25">
      <c r="A19" s="1"/>
      <c r="B19" s="1"/>
      <c r="C19" s="141">
        <v>1</v>
      </c>
      <c r="D19" s="268" t="s">
        <v>32</v>
      </c>
      <c r="E19" s="124" t="str">
        <f>+IFERROR(INDEX(Hoja1!$E$2:$E$45,MATCH('Análisis Resultados'!C19,Hoja1!$H$2:$H$45,0)),"")</f>
        <v>Procesos de desvinculación de servidores de acuerdo con lo previsto en la Constitución Política y las leyes</v>
      </c>
      <c r="F19" s="125" t="str">
        <f>+IFERROR(VLOOKUP(C19,Hoja1!$H$2:$I$45,2,0),"")</f>
        <v>No</v>
      </c>
      <c r="G19" s="126"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19" s="18"/>
      <c r="I19" s="142">
        <f>+IF(F19="Si",1,IF(F19="En proceso",0.5,0))</f>
        <v>0</v>
      </c>
      <c r="J19" s="281">
        <f>+AVERAGE(I19:I30)</f>
        <v>0.79166666666666663</v>
      </c>
    </row>
    <row r="20" spans="1:10" ht="33.75" x14ac:dyDescent="0.25">
      <c r="A20" s="1"/>
      <c r="B20" s="1"/>
      <c r="C20" s="141">
        <v>2</v>
      </c>
      <c r="D20" s="269"/>
      <c r="E20" s="127" t="str">
        <f>+IFERROR(INDEX(Hoja1!$E$2:$E$45,MATCH('Análisis Resultados'!C20,Hoja1!$H$2:$H$45,0)),"")</f>
        <v>Documento interno o adopción del MECI actualizado</v>
      </c>
      <c r="F20" s="128" t="str">
        <f>+IFERROR(VLOOKUP(C20,Hoja1!$H$2:$I$45,2,0),"")</f>
        <v>En proceso</v>
      </c>
      <c r="G20" s="129"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Se encuentra en proceso, pero requiere continuar con acciones dirigidas a contar con dicho aspecto de control.</v>
      </c>
      <c r="H20" s="18"/>
      <c r="I20" s="143">
        <f t="shared" ref="I20:I62" si="1">+IF(F20="Si",1,IF(F20="En proceso",0.5,0))</f>
        <v>0.5</v>
      </c>
      <c r="J20" s="282"/>
    </row>
    <row r="21" spans="1:10" ht="42.75" x14ac:dyDescent="0.25">
      <c r="A21" s="1"/>
      <c r="B21" s="1"/>
      <c r="C21" s="141">
        <v>3</v>
      </c>
      <c r="D21" s="269"/>
      <c r="E21" s="127" t="str">
        <f>+IFERROR(INDEX(Hoja1!$E$2:$E$45,MATCH('Análisis Resultados'!C21,Hoja1!$H$2:$H$45,0)),"")</f>
        <v>Procesos de inducción, capacitación y bienestar social para sus servidores públicos, de manera directa o en asociación con otras entidades municipales</v>
      </c>
      <c r="F21" s="128" t="str">
        <f>+IFERROR(VLOOKUP(C21,Hoja1!$H$2:$I$45,2,0),"")</f>
        <v>En proceso</v>
      </c>
      <c r="G21" s="129" t="str">
        <f t="shared" si="0"/>
        <v>Se encuentra en proceso, pero requiere continuar con acciones dirigidas a contar con dicho aspecto de control.</v>
      </c>
      <c r="H21" s="18"/>
      <c r="I21" s="143">
        <f t="shared" si="1"/>
        <v>0.5</v>
      </c>
      <c r="J21" s="282"/>
    </row>
    <row r="22" spans="1:10" ht="56.25" customHeight="1" x14ac:dyDescent="0.25">
      <c r="A22" s="1"/>
      <c r="B22" s="1"/>
      <c r="C22" s="141">
        <v>4</v>
      </c>
      <c r="D22" s="269"/>
      <c r="E22" s="127" t="str">
        <f>+IFERROR(INDEX(Hoja1!$E$2:$E$45,MATCH('Análisis Resultados'!C22,Hoja1!$H$2:$H$45,0)),"")</f>
        <v>Evaluación a los servidores públicos de acuerdo con el marco normativo que le rige</v>
      </c>
      <c r="F22" s="128" t="str">
        <f>+IFERROR(VLOOKUP(C22,Hoja1!$H$2:$I$45,2,0),"")</f>
        <v>En proceso</v>
      </c>
      <c r="G22" s="129" t="str">
        <f t="shared" si="0"/>
        <v>Se encuentra en proceso, pero requiere continuar con acciones dirigidas a contar con dicho aspecto de control.</v>
      </c>
      <c r="H22" s="18"/>
      <c r="I22" s="143">
        <f t="shared" si="1"/>
        <v>0.5</v>
      </c>
      <c r="J22" s="282"/>
    </row>
    <row r="23" spans="1:10" ht="57" x14ac:dyDescent="0.25">
      <c r="A23" s="1"/>
      <c r="B23" s="1"/>
      <c r="C23" s="141">
        <v>5</v>
      </c>
      <c r="D23" s="269"/>
      <c r="E23" s="127" t="str">
        <f>+IFERROR(INDEX(Hoja1!$E$2:$E$45,MATCH('Análisis Resultados'!C23,Hoja1!$H$2:$H$45,0)),"")</f>
        <v>Un documento tal como un código de ética, integridad u otro que formalice los estándares de conducta, los principios institucionales o los valores del servicio público</v>
      </c>
      <c r="F23" s="128" t="str">
        <f>+IFERROR(VLOOKUP(C23,Hoja1!$H$2:$I$45,2,0),"")</f>
        <v>Si</v>
      </c>
      <c r="G23" s="129" t="str">
        <f t="shared" si="0"/>
        <v>Existe requerimiento pero se requiere actividades  dirigidas a su mantenimiento dentro del marco de las lineas de defensa.</v>
      </c>
      <c r="H23" s="18"/>
      <c r="I23" s="143">
        <f t="shared" si="1"/>
        <v>1</v>
      </c>
      <c r="J23" s="282"/>
    </row>
    <row r="24" spans="1:10" ht="45" x14ac:dyDescent="0.25">
      <c r="A24" s="1"/>
      <c r="B24" s="1"/>
      <c r="C24" s="141">
        <v>6</v>
      </c>
      <c r="D24" s="269"/>
      <c r="E24" s="127" t="str">
        <f>+IFERROR(INDEX(Hoja1!$E$2:$E$45,MATCH('Análisis Resultados'!C24,Hoja1!$H$2:$H$45,0)),"")</f>
        <v>Planes, programas y proyectos de acuerdo con las normas que rigen y atendiendo con su propósito fundamental institucional (misión)</v>
      </c>
      <c r="F24" s="128" t="str">
        <f>+IFERROR(VLOOKUP(C24,Hoja1!$H$2:$I$45,2,0),"")</f>
        <v>Si</v>
      </c>
      <c r="G24" s="129" t="str">
        <f t="shared" si="0"/>
        <v>Existe requerimiento pero se requiere actividades  dirigidas a su mantenimiento dentro del marco de las lineas de defensa.</v>
      </c>
      <c r="H24" s="18"/>
      <c r="I24" s="143">
        <f t="shared" si="1"/>
        <v>1</v>
      </c>
      <c r="J24" s="282"/>
    </row>
    <row r="25" spans="1:10" ht="45" x14ac:dyDescent="0.25">
      <c r="A25" s="1"/>
      <c r="B25" s="1"/>
      <c r="C25" s="141">
        <v>7</v>
      </c>
      <c r="D25" s="269"/>
      <c r="E25" s="127" t="str">
        <f>+IFERROR(INDEX(Hoja1!$E$2:$E$45,MATCH('Análisis Resultados'!C25,Hoja1!$H$2:$H$45,0)),"")</f>
        <v>Una estructura organizacional formalizada (organigrama)</v>
      </c>
      <c r="F25" s="128" t="str">
        <f>+IFERROR(VLOOKUP(C25,Hoja1!$H$2:$I$45,2,0),"")</f>
        <v>Si</v>
      </c>
      <c r="G25" s="129" t="str">
        <f t="shared" si="0"/>
        <v>Existe requerimiento pero se requiere actividades  dirigidas a su mantenimiento dentro del marco de las lineas de defensa.</v>
      </c>
      <c r="H25" s="18"/>
      <c r="I25" s="143">
        <f t="shared" si="1"/>
        <v>1</v>
      </c>
      <c r="J25" s="282"/>
    </row>
    <row r="26" spans="1:10" ht="45" x14ac:dyDescent="0.25">
      <c r="A26" s="1"/>
      <c r="B26" s="1"/>
      <c r="C26" s="141">
        <v>8</v>
      </c>
      <c r="D26" s="269"/>
      <c r="E26" s="127" t="str">
        <f>+IFERROR(INDEX(Hoja1!$E$2:$E$45,MATCH('Análisis Resultados'!C26,Hoja1!$H$2:$H$45,0)),"")</f>
        <v>Un manual de funciones que describa los empleos de la entidad</v>
      </c>
      <c r="F26" s="128" t="str">
        <f>+IFERROR(VLOOKUP(C26,Hoja1!$H$2:$I$45,2,0),"")</f>
        <v>Si</v>
      </c>
      <c r="G26" s="129" t="str">
        <f t="shared" si="0"/>
        <v>Existe requerimiento pero se requiere actividades  dirigidas a su mantenimiento dentro del marco de las lineas de defensa.</v>
      </c>
      <c r="H26" s="18"/>
      <c r="I26" s="143">
        <f t="shared" si="1"/>
        <v>1</v>
      </c>
      <c r="J26" s="282"/>
    </row>
    <row r="27" spans="1:10" ht="45" x14ac:dyDescent="0.25">
      <c r="A27" s="1"/>
      <c r="B27" s="1"/>
      <c r="C27" s="141">
        <v>9</v>
      </c>
      <c r="D27" s="269"/>
      <c r="E27" s="127" t="str">
        <f>+IFERROR(INDEX(Hoja1!$E$2:$E$45,MATCH('Análisis Resultados'!C27,Hoja1!$H$2:$H$45,0)),"")</f>
        <v>La documentación de sus procesos y procedimientos o bien una lista de actividades principales que permitan conocer el estado de su gestión</v>
      </c>
      <c r="F27" s="128" t="str">
        <f>+IFERROR(VLOOKUP(C27,Hoja1!$H$2:$I$45,2,0),"")</f>
        <v>Si</v>
      </c>
      <c r="G27" s="129" t="str">
        <f t="shared" si="0"/>
        <v>Existe requerimiento pero se requiere actividades  dirigidas a su mantenimiento dentro del marco de las lineas de defensa.</v>
      </c>
      <c r="H27" s="18"/>
      <c r="I27" s="143">
        <f t="shared" si="1"/>
        <v>1</v>
      </c>
      <c r="J27" s="282"/>
    </row>
    <row r="28" spans="1:10" ht="45" x14ac:dyDescent="0.25">
      <c r="A28" s="1"/>
      <c r="B28" s="1"/>
      <c r="C28" s="141">
        <v>10</v>
      </c>
      <c r="D28" s="269"/>
      <c r="E28" s="127" t="str">
        <f>+IFERROR(INDEX(Hoja1!$E$2:$E$45,MATCH('Análisis Resultados'!C28,Hoja1!$H$2:$H$45,0)),"")</f>
        <v>Vinculación de los servidores públicos de acuerdo con el marco normativo que les rige (carrera administrativa, libre nombramiento y remoción, entre otros)</v>
      </c>
      <c r="F28" s="128" t="str">
        <f>+IFERROR(VLOOKUP(C28,Hoja1!$H$2:$I$45,2,0),"")</f>
        <v>Si</v>
      </c>
      <c r="G28" s="129" t="str">
        <f t="shared" si="0"/>
        <v>Existe requerimiento pero se requiere actividades  dirigidas a su mantenimiento dentro del marco de las lineas de defensa.</v>
      </c>
      <c r="H28" s="18"/>
      <c r="I28" s="143">
        <f t="shared" si="1"/>
        <v>1</v>
      </c>
      <c r="J28" s="282"/>
    </row>
    <row r="29" spans="1:10" ht="45" x14ac:dyDescent="0.25">
      <c r="A29" s="1"/>
      <c r="B29" s="1"/>
      <c r="C29" s="141">
        <v>11</v>
      </c>
      <c r="D29" s="269"/>
      <c r="E29" s="127" t="str">
        <f>+IFERROR(INDEX(Hoja1!$E$2:$E$45,MATCH('Análisis Resultados'!C29,Hoja1!$H$2:$H$45,0)),"")</f>
        <v>Mecanismos de rendición de cuentas a la ciudadanía</v>
      </c>
      <c r="F29" s="128" t="str">
        <f>+IFERROR(VLOOKUP(C29,Hoja1!$H$2:$I$45,2,0),"")</f>
        <v>Si</v>
      </c>
      <c r="G29" s="129"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43">
        <f t="shared" si="1"/>
        <v>1</v>
      </c>
      <c r="J29" s="282"/>
    </row>
    <row r="30" spans="1:10" ht="45.75" thickBot="1" x14ac:dyDescent="0.3">
      <c r="A30" s="1"/>
      <c r="B30" s="1"/>
      <c r="C30" s="141">
        <v>12</v>
      </c>
      <c r="D30" s="270"/>
      <c r="E30" s="130" t="str">
        <f>+IFERROR(INDEX(Hoja1!$E$2:$E$45,MATCH('Análisis Resultados'!C30,Hoja1!$H$2:$H$45,0)),"")</f>
        <v>Presentación oportuna de sus informes de gestión a las autoridades competentes</v>
      </c>
      <c r="F30" s="131" t="str">
        <f>+IFERROR(VLOOKUP(C30,Hoja1!$H$2:$I$45,2,0),"")</f>
        <v>Si</v>
      </c>
      <c r="G30" s="132" t="str">
        <f t="shared" si="0"/>
        <v>Existe requerimiento pero se requiere actividades  dirigidas a su mantenimiento dentro del marco de las lineas de defensa.</v>
      </c>
      <c r="H30" s="18"/>
      <c r="I30" s="144">
        <f t="shared" si="1"/>
        <v>1</v>
      </c>
      <c r="J30" s="283"/>
    </row>
    <row r="31" spans="1:10" ht="45" customHeight="1" x14ac:dyDescent="0.25">
      <c r="A31" s="1"/>
      <c r="B31" s="1"/>
      <c r="C31" s="141">
        <v>13</v>
      </c>
      <c r="D31" s="295" t="s">
        <v>61</v>
      </c>
      <c r="E31" s="124" t="str">
        <f>+IFERROR(INDEX(Hoja1!$E$2:$E$45,MATCH('Análisis Resultados'!C31,Hoja1!$H$2:$H$45,0)),"")</f>
        <v>Cada líder del equipo autónomamente toma las acciones para solucionarlos.</v>
      </c>
      <c r="F31" s="125" t="str">
        <f>+IFERROR(VLOOKUP(C31,Hoja1!$H$2:$I$45,2,0),"")</f>
        <v>No</v>
      </c>
      <c r="G31" s="126" t="str">
        <f t="shared" si="0"/>
        <v>No se encuentra el aspecto  por lo tanto la entidad debera generar acciones dirigidas a que se cumpla con el requerimiento.</v>
      </c>
      <c r="H31" s="18"/>
      <c r="I31" s="142">
        <f t="shared" si="1"/>
        <v>0</v>
      </c>
      <c r="J31" s="279">
        <f>+AVERAGE(I31:I40)</f>
        <v>0.6</v>
      </c>
    </row>
    <row r="32" spans="1:10" ht="57" customHeight="1" x14ac:dyDescent="0.25">
      <c r="A32" s="1"/>
      <c r="B32" s="1"/>
      <c r="C32" s="141">
        <v>14</v>
      </c>
      <c r="D32" s="296"/>
      <c r="E32" s="127" t="str">
        <f>+IFERROR(INDEX(Hoja1!$E$2:$E$45,MATCH('Análisis Resultados'!C32,Hoja1!$H$2:$H$45,0)),"")</f>
        <v>Solamente hasta que un organismo de control actúa se definen acciones de mejora.</v>
      </c>
      <c r="F32" s="128" t="str">
        <f>+IFERROR(VLOOKUP(C32,Hoja1!$H$2:$I$45,2,0),"")</f>
        <v>No</v>
      </c>
      <c r="G32" s="129" t="str">
        <f t="shared" si="0"/>
        <v>No se encuentra el aspecto  por lo tanto la entidad debera generar acciones dirigidas a que se cumpla con el requerimiento.</v>
      </c>
      <c r="H32" s="18"/>
      <c r="I32" s="143">
        <f t="shared" si="1"/>
        <v>0</v>
      </c>
      <c r="J32" s="280"/>
    </row>
    <row r="33" spans="1:10" ht="54" customHeight="1" x14ac:dyDescent="0.25">
      <c r="A33" s="1"/>
      <c r="B33" s="1"/>
      <c r="C33" s="141">
        <v>15</v>
      </c>
      <c r="D33" s="296"/>
      <c r="E33" s="127" t="str">
        <f>+IFERROR(INDEX(Hoja1!$E$2:$E$45,MATCH('Análisis Resultados'!C33,Hoja1!$H$2:$H$45,0)),"")</f>
        <v>La identificación  de los riesgos relacionados con posibles actos de corrupción en el ejercicio de sus funciones</v>
      </c>
      <c r="F33" s="128" t="str">
        <f>+IFERROR(VLOOKUP(C33,Hoja1!$H$2:$I$45,2,0),"")</f>
        <v>En proceso</v>
      </c>
      <c r="G33" s="129" t="str">
        <f t="shared" si="0"/>
        <v>Se encuentra en proceso, pero requiere continuar con acciones dirigidas a contar con dicho aspecto de control.</v>
      </c>
      <c r="H33" s="18"/>
      <c r="I33" s="143">
        <f t="shared" si="1"/>
        <v>0.5</v>
      </c>
      <c r="J33" s="280"/>
    </row>
    <row r="34" spans="1:10" ht="42.75" x14ac:dyDescent="0.25">
      <c r="A34" s="1"/>
      <c r="B34" s="1"/>
      <c r="C34" s="141">
        <v>16</v>
      </c>
      <c r="D34" s="296"/>
      <c r="E34" s="127" t="str">
        <f>+IFERROR(INDEX(Hoja1!$E$2:$E$45,MATCH('Análisis Resultados'!C34,Hoja1!$H$2:$H$45,0)),"")</f>
        <v>Si su capacidad e infraestructura lo permite, identificación de riesgos asociados a las tecnologías de la información y las comunicaciones</v>
      </c>
      <c r="F34" s="128" t="str">
        <f>+IFERROR(VLOOKUP(C34,Hoja1!$H$2:$I$45,2,0),"")</f>
        <v>En proceso</v>
      </c>
      <c r="G34" s="129" t="str">
        <f t="shared" si="0"/>
        <v>Se encuentra en proceso, pero requiere continuar con acciones dirigidas a contar con dicho aspecto de control.</v>
      </c>
      <c r="H34" s="18"/>
      <c r="I34" s="143">
        <f t="shared" si="1"/>
        <v>0.5</v>
      </c>
      <c r="J34" s="280"/>
    </row>
    <row r="35" spans="1:10" ht="67.5" customHeight="1" x14ac:dyDescent="0.25">
      <c r="A35" s="1"/>
      <c r="B35" s="1"/>
      <c r="C35" s="141">
        <v>17</v>
      </c>
      <c r="D35" s="296"/>
      <c r="E35" s="127" t="str">
        <f>+IFERROR(INDEX(Hoja1!$E$2:$E$45,MATCH('Análisis Resultados'!C35,Hoja1!$H$2:$H$45,0)),"")</f>
        <v>Hacen seguimiento a los problemas (riesgos)  que pueden afectar el cumplimiento de sus procesos, programas o proyectos a cargo</v>
      </c>
      <c r="F35" s="128" t="str">
        <f>+IFERROR(VLOOKUP(C35,Hoja1!$H$2:$I$45,2,0),"")</f>
        <v>En proceso</v>
      </c>
      <c r="G35" s="129" t="str">
        <f t="shared" si="0"/>
        <v>Se encuentra en proceso, pero requiere continuar con acciones dirigidas a contar con dicho aspecto de control.</v>
      </c>
      <c r="H35" s="18"/>
      <c r="I35" s="143">
        <f t="shared" si="1"/>
        <v>0.5</v>
      </c>
      <c r="J35" s="280"/>
    </row>
    <row r="36" spans="1:10" ht="42.75" x14ac:dyDescent="0.25">
      <c r="A36" s="1"/>
      <c r="B36" s="1"/>
      <c r="C36" s="141">
        <v>18</v>
      </c>
      <c r="D36" s="296"/>
      <c r="E36" s="127" t="str">
        <f>+IFERROR(INDEX(Hoja1!$E$2:$E$45,MATCH('Análisis Resultados'!C36,Hoja1!$H$2:$H$45,0)),"")</f>
        <v>Informan de manera periódica a quien corresponda sobre el desempeño de las actividades de gestión de riesgos</v>
      </c>
      <c r="F36" s="128" t="str">
        <f>+IFERROR(VLOOKUP(C36,Hoja1!$H$2:$I$45,2,0),"")</f>
        <v>En proceso</v>
      </c>
      <c r="G36" s="129" t="str">
        <f t="shared" si="0"/>
        <v>Se encuentra en proceso, pero requiere continuar con acciones dirigidas a contar con dicho aspecto de control.</v>
      </c>
      <c r="H36" s="18"/>
      <c r="I36" s="143">
        <f t="shared" si="1"/>
        <v>0.5</v>
      </c>
      <c r="J36" s="280"/>
    </row>
    <row r="37" spans="1:10" ht="57" customHeight="1" x14ac:dyDescent="0.25">
      <c r="A37" s="1"/>
      <c r="B37" s="1"/>
      <c r="C37" s="141">
        <v>19</v>
      </c>
      <c r="D37" s="296"/>
      <c r="E37" s="127" t="str">
        <f>+IFERROR(INDEX(Hoja1!$E$2:$E$45,MATCH('Análisis Resultados'!C37,Hoja1!$H$2:$H$45,0)),"")</f>
        <v>La identificación de cambios en su entorno que pueden generar consecuencias negativas en su gestión</v>
      </c>
      <c r="F37" s="128" t="str">
        <f>+IFERROR(VLOOKUP(C37,Hoja1!$H$2:$I$45,2,0),"")</f>
        <v>Si</v>
      </c>
      <c r="G37" s="129" t="str">
        <f t="shared" si="0"/>
        <v>Existe requerimiento pero se requiere actividades  dirigidas a su mantenimiento dentro del marco de las lineas de defensa.</v>
      </c>
      <c r="H37" s="18"/>
      <c r="I37" s="143">
        <f t="shared" si="1"/>
        <v>1</v>
      </c>
      <c r="J37" s="280"/>
    </row>
    <row r="38" spans="1:10" ht="45" x14ac:dyDescent="0.25">
      <c r="A38" s="1"/>
      <c r="B38" s="1"/>
      <c r="C38" s="141">
        <v>20</v>
      </c>
      <c r="D38" s="296"/>
      <c r="E38" s="127" t="str">
        <f>+IFERROR(INDEX(Hoja1!$E$2:$E$45,MATCH('Análisis Resultados'!C38,Hoja1!$H$2:$H$45,0)),"")</f>
        <v>La identificación de aquellos problemas o aspectos que pueden afectar el cumplimiento de los planes de la entidad y en general su gestión institucional (riesgos)</v>
      </c>
      <c r="F38" s="128" t="str">
        <f>+IFERROR(VLOOKUP(C38,Hoja1!$H$2:$I$45,2,0),"")</f>
        <v>Si</v>
      </c>
      <c r="G38" s="129" t="str">
        <f t="shared" si="0"/>
        <v>Existe requerimiento pero se requiere actividades  dirigidas a su mantenimiento dentro del marco de las lineas de defensa.</v>
      </c>
      <c r="H38" s="18"/>
      <c r="I38" s="143">
        <f t="shared" si="1"/>
        <v>1</v>
      </c>
      <c r="J38" s="280"/>
    </row>
    <row r="39" spans="1:10" ht="45" x14ac:dyDescent="0.25">
      <c r="A39" s="1"/>
      <c r="B39" s="1"/>
      <c r="C39" s="141">
        <v>21</v>
      </c>
      <c r="D39" s="296"/>
      <c r="E39" s="127" t="str">
        <f>+IFERROR(INDEX(Hoja1!$E$2:$E$45,MATCH('Análisis Resultados'!C39,Hoja1!$H$2:$H$45,0)),"")</f>
        <v>Identifican deficiencias en las maneras de  controlar los riesgos o problemas en sus procesos, programas o proyectos, y propone los ajustes necesarios</v>
      </c>
      <c r="F39" s="128" t="str">
        <f>+IFERROR(VLOOKUP(C39,Hoja1!$H$2:$I$45,2,0),"")</f>
        <v>Si</v>
      </c>
      <c r="G39" s="129" t="str">
        <f t="shared" si="0"/>
        <v>Existe requerimiento pero se requiere actividades  dirigidas a su mantenimiento dentro del marco de las lineas de defensa.</v>
      </c>
      <c r="H39" s="18"/>
      <c r="I39" s="143">
        <f t="shared" si="1"/>
        <v>1</v>
      </c>
      <c r="J39" s="280"/>
    </row>
    <row r="40" spans="1:10" ht="45.75" thickBot="1" x14ac:dyDescent="0.3">
      <c r="A40" s="1"/>
      <c r="B40" s="1"/>
      <c r="C40" s="141">
        <v>22</v>
      </c>
      <c r="D40" s="296"/>
      <c r="E40" s="133" t="str">
        <f>+IFERROR(INDEX(Hoja1!$E$2:$E$45,MATCH('Análisis Resultados'!C40,Hoja1!$H$2:$H$45,0)),"")</f>
        <v>Se definen espacios de reunión para conocerlos y proponer acciones para su solución</v>
      </c>
      <c r="F40" s="134" t="str">
        <f>+IFERROR(VLOOKUP(C40,Hoja1!$H$2:$I$45,2,0),"")</f>
        <v>Si</v>
      </c>
      <c r="G40" s="135" t="str">
        <f t="shared" si="0"/>
        <v>Existe requerimiento pero se requiere actividades  dirigidas a su mantenimiento dentro del marco de las lineas de defensa.</v>
      </c>
      <c r="H40" s="18"/>
      <c r="I40" s="145">
        <f t="shared" si="1"/>
        <v>1</v>
      </c>
      <c r="J40" s="280"/>
    </row>
    <row r="41" spans="1:10" ht="87.75" customHeight="1" x14ac:dyDescent="0.25">
      <c r="A41" s="1"/>
      <c r="B41" s="1"/>
      <c r="C41" s="141">
        <v>23</v>
      </c>
      <c r="D41" s="291" t="s">
        <v>79</v>
      </c>
      <c r="E41" s="124" t="str">
        <f>+IFERROR(INDEX(Hoja1!$E$2:$E$45,MATCH('Análisis Resultados'!C41,Hoja1!$H$2:$H$45,0)),"")</f>
        <v>Mecanismos de verificación de si se están o no mitigando los riesgos, o en su defecto, elaboración de planes de contingencia para subsanar sus consecuencias</v>
      </c>
      <c r="F41" s="125" t="str">
        <f>+IFERROR(VLOOKUP(C41,Hoja1!$H$2:$I$45,2,0),"")</f>
        <v>En proceso</v>
      </c>
      <c r="G41" s="126" t="str">
        <f t="shared" si="0"/>
        <v>Se encuentra en proceso, pero requiere continuar con acciones dirigidas a contar con dicho aspecto de control.</v>
      </c>
      <c r="H41" s="18"/>
      <c r="I41" s="142">
        <f t="shared" si="1"/>
        <v>0.5</v>
      </c>
      <c r="J41" s="279">
        <f>+AVERAGE(I41:I45)</f>
        <v>0.7</v>
      </c>
    </row>
    <row r="42" spans="1:10" ht="42.75" x14ac:dyDescent="0.25">
      <c r="A42" s="1"/>
      <c r="B42" s="1"/>
      <c r="C42" s="141">
        <v>24</v>
      </c>
      <c r="D42" s="292"/>
      <c r="E42" s="127" t="str">
        <f>+IFERROR(INDEX(Hoja1!$E$2:$E$45,MATCH('Análisis Resultados'!C42,Hoja1!$H$2:$H$45,0)),"")</f>
        <v>Planes, acciones o estrategias que permitan subsanar las consecuencias de la materialización de los riesgos, cuando se presentan</v>
      </c>
      <c r="F42" s="128" t="str">
        <f>+IFERROR(VLOOKUP(C42,Hoja1!$H$2:$I$45,2,0),"")</f>
        <v>En proceso</v>
      </c>
      <c r="G42" s="129" t="str">
        <f t="shared" si="0"/>
        <v>Se encuentra en proceso, pero requiere continuar con acciones dirigidas a contar con dicho aspecto de control.</v>
      </c>
      <c r="H42" s="18"/>
      <c r="I42" s="143">
        <f t="shared" si="1"/>
        <v>0.5</v>
      </c>
      <c r="J42" s="280"/>
    </row>
    <row r="43" spans="1:10" ht="85.5" customHeight="1" x14ac:dyDescent="0.25">
      <c r="A43" s="1"/>
      <c r="B43" s="1"/>
      <c r="C43" s="141">
        <v>25</v>
      </c>
      <c r="D43" s="292"/>
      <c r="E43" s="127" t="str">
        <f>+IFERROR(INDEX(Hoja1!$E$2:$E$45,MATCH('Análisis Resultados'!C43,Hoja1!$H$2:$H$45,0)),"")</f>
        <v>Un documento que consolide  los riesgos  y el tratamiento que se les da, incluyendo aquellos que conllevan posibles actos de corrupción y si la capacidad e infraestructura lo permite, los asociados con las tecnologías de la información y las comunicaciones</v>
      </c>
      <c r="F43" s="128" t="str">
        <f>+IFERROR(VLOOKUP(C43,Hoja1!$H$2:$I$45,2,0),"")</f>
        <v>En proceso</v>
      </c>
      <c r="G43" s="129" t="str">
        <f t="shared" si="0"/>
        <v>Se encuentra en proceso, pero requiere continuar con acciones dirigidas a contar con dicho aspecto de control.</v>
      </c>
      <c r="H43" s="18"/>
      <c r="I43" s="143">
        <f t="shared" si="1"/>
        <v>0.5</v>
      </c>
      <c r="J43" s="280"/>
    </row>
    <row r="44" spans="1:10" ht="57" customHeight="1" x14ac:dyDescent="0.25">
      <c r="A44" s="1"/>
      <c r="B44" s="1"/>
      <c r="C44" s="141">
        <v>26</v>
      </c>
      <c r="D44" s="292"/>
      <c r="E44" s="127" t="str">
        <f>+IFERROR(INDEX(Hoja1!$E$2:$E$45,MATCH('Análisis Resultados'!C44,Hoja1!$H$2:$H$45,0)),"")</f>
        <v>La definición de acciones o actividades para para dar tratamiento a los problemas identificados (mitigación de riesgos), incluyendo aquellos asociados a posibles actos de corrupción</v>
      </c>
      <c r="F44" s="128" t="str">
        <f>+IFERROR(VLOOKUP(C44,Hoja1!$H$2:$I$45,2,0),"")</f>
        <v>Si</v>
      </c>
      <c r="G44" s="129" t="str">
        <f t="shared" si="0"/>
        <v>Existe requerimiento pero se requiere actividades  dirigidas a su mantenimiento dentro del marco de las lineas de defensa.</v>
      </c>
      <c r="H44" s="18"/>
      <c r="I44" s="143">
        <f t="shared" si="1"/>
        <v>1</v>
      </c>
      <c r="J44" s="280"/>
    </row>
    <row r="45" spans="1:10" ht="57" customHeight="1" thickBot="1" x14ac:dyDescent="0.3">
      <c r="A45" s="1"/>
      <c r="B45" s="1"/>
      <c r="C45" s="141">
        <v>27</v>
      </c>
      <c r="D45" s="293"/>
      <c r="E45" s="130" t="str">
        <f>+IFERROR(INDEX(Hoja1!$E$2:$E$45,MATCH('Análisis Resultados'!C45,Hoja1!$H$2:$H$45,0)),"")</f>
        <v>Un plan anticorrupción y de servicio al ciudadano con los temas que le aplican, publicado en algún medio para conocimiento de la ciudadanía</v>
      </c>
      <c r="F45" s="131" t="str">
        <f>+IFERROR(VLOOKUP(C45,Hoja1!$H$2:$I$45,2,0),"")</f>
        <v>Si</v>
      </c>
      <c r="G45" s="132" t="str">
        <f t="shared" si="0"/>
        <v>Existe requerimiento pero se requiere actividades  dirigidas a su mantenimiento dentro del marco de las lineas de defensa.</v>
      </c>
      <c r="H45" s="18"/>
      <c r="I45" s="144">
        <f t="shared" si="1"/>
        <v>1</v>
      </c>
      <c r="J45" s="294"/>
    </row>
    <row r="46" spans="1:10" ht="63.75" customHeight="1" x14ac:dyDescent="0.25">
      <c r="A46" s="1"/>
      <c r="B46" s="1"/>
      <c r="C46" s="141">
        <v>28</v>
      </c>
      <c r="D46" s="290" t="s">
        <v>87</v>
      </c>
      <c r="E46" s="136" t="str">
        <f>+IFERROR(INDEX(Hoja1!$E$2:$E$45,MATCH('Análisis Resultados'!C46,Hoja1!$H$2:$H$45,0)),"")</f>
        <v>Responsables de la información institucional</v>
      </c>
      <c r="F46" s="137" t="str">
        <f>+IFERROR(VLOOKUP(C46,Hoja1!$H$2:$I$45,2,0),"")</f>
        <v>Si</v>
      </c>
      <c r="G46" s="138" t="str">
        <f t="shared" si="0"/>
        <v>Existe requerimiento pero se requiere actividades  dirigidas a su mantenimiento dentro del marco de las lineas de defensa.</v>
      </c>
      <c r="H46" s="18"/>
      <c r="I46" s="146">
        <f t="shared" si="1"/>
        <v>1</v>
      </c>
      <c r="J46" s="280">
        <f>+AVERAGE(I46:I52)</f>
        <v>1</v>
      </c>
    </row>
    <row r="47" spans="1:10" ht="92.25" customHeight="1" x14ac:dyDescent="0.25">
      <c r="A47" s="1"/>
      <c r="B47" s="1"/>
      <c r="C47" s="141">
        <v>29</v>
      </c>
      <c r="D47" s="290"/>
      <c r="E47" s="127" t="str">
        <f>+IFERROR(INDEX(Hoja1!$E$2:$E$45,MATCH('Análisis Resultados'!C47,Hoja1!$H$2:$H$45,0)),"")</f>
        <v>Canales de comunicación con los ciudadanos</v>
      </c>
      <c r="F47" s="128" t="str">
        <f>+IFERROR(VLOOKUP(C47,Hoja1!$H$2:$I$45,2,0),"")</f>
        <v>Si</v>
      </c>
      <c r="G47" s="139" t="str">
        <f t="shared" si="0"/>
        <v>Existe requerimiento pero se requiere actividades  dirigidas a su mantenimiento dentro del marco de las lineas de defensa.</v>
      </c>
      <c r="H47" s="18"/>
      <c r="I47" s="147">
        <f t="shared" si="1"/>
        <v>1</v>
      </c>
      <c r="J47" s="280"/>
    </row>
    <row r="48" spans="1:10" ht="66.75" customHeight="1" x14ac:dyDescent="0.25">
      <c r="A48" s="1"/>
      <c r="B48" s="1"/>
      <c r="C48" s="141">
        <v>30</v>
      </c>
      <c r="D48" s="290"/>
      <c r="E48" s="127" t="str">
        <f>+IFERROR(INDEX(Hoja1!$E$2:$E$45,MATCH('Análisis Resultados'!C48,Hoja1!$H$2:$H$45,0)),"")</f>
        <v>Canales de comunicación o mecanismos de reporte de información a otros organismos gubernamentales o de control</v>
      </c>
      <c r="F48" s="128" t="str">
        <f>+IFERROR(VLOOKUP(C48,Hoja1!$H$2:$I$45,2,0),"")</f>
        <v>Si</v>
      </c>
      <c r="G48" s="139" t="str">
        <f t="shared" si="0"/>
        <v>Existe requerimiento pero se requiere actividades  dirigidas a su mantenimiento dentro del marco de las lineas de defensa.</v>
      </c>
      <c r="H48" s="18"/>
      <c r="I48" s="147">
        <f t="shared" si="1"/>
        <v>1</v>
      </c>
      <c r="J48" s="280"/>
    </row>
    <row r="49" spans="1:10" ht="60" customHeight="1" x14ac:dyDescent="0.25">
      <c r="A49" s="1"/>
      <c r="B49" s="1"/>
      <c r="C49" s="141">
        <v>31</v>
      </c>
      <c r="D49" s="290"/>
      <c r="E49" s="127" t="str">
        <f>+IFERROR(INDEX(Hoja1!$E$2:$E$45,MATCH('Análisis Resultados'!C49,Hoja1!$H$2:$H$45,0)),"")</f>
        <v xml:space="preserve">Lineamientos para dar tratamiento a la información de carácter reservado </v>
      </c>
      <c r="F49" s="128" t="str">
        <f>+IFERROR(VLOOKUP(C49,Hoja1!$H$2:$I$45,2,0),"")</f>
        <v>Si</v>
      </c>
      <c r="G49" s="139" t="str">
        <f t="shared" si="0"/>
        <v>Existe requerimiento pero se requiere actividades  dirigidas a su mantenimiento dentro del marco de las lineas de defensa.</v>
      </c>
      <c r="H49" s="18"/>
      <c r="I49" s="147">
        <f t="shared" si="1"/>
        <v>1</v>
      </c>
      <c r="J49" s="280"/>
    </row>
    <row r="50" spans="1:10" ht="57" customHeight="1" x14ac:dyDescent="0.25">
      <c r="A50" s="1"/>
      <c r="B50" s="1"/>
      <c r="C50" s="141">
        <v>32</v>
      </c>
      <c r="D50" s="290"/>
      <c r="E50" s="127" t="str">
        <f>+IFERROR(INDEX(Hoja1!$E$2:$E$45,MATCH('Análisis Resultados'!C50,Hoja1!$H$2:$H$45,0)),"")</f>
        <v>Identificación de información que produce en el marco de su gestión (Para los ciudadanos, organismos de control, organismos gubernamentales, entre otros)</v>
      </c>
      <c r="F50" s="128" t="str">
        <f>+IFERROR(VLOOKUP(C50,Hoja1!$H$2:$I$45,2,0),"")</f>
        <v>Si</v>
      </c>
      <c r="G50" s="139" t="str">
        <f t="shared" si="0"/>
        <v>Existe requerimiento pero se requiere actividades  dirigidas a su mantenimiento dentro del marco de las lineas de defensa.</v>
      </c>
      <c r="H50" s="18"/>
      <c r="I50" s="147">
        <f t="shared" si="1"/>
        <v>1</v>
      </c>
      <c r="J50" s="280"/>
    </row>
    <row r="51" spans="1:10" ht="57" customHeight="1" x14ac:dyDescent="0.25">
      <c r="A51" s="1"/>
      <c r="B51" s="1"/>
      <c r="C51" s="141">
        <v>33</v>
      </c>
      <c r="D51" s="290"/>
      <c r="E51" s="127" t="str">
        <f>+IFERROR(INDEX(Hoja1!$E$2:$E$45,MATCH('Análisis Resultados'!C51,Hoja1!$H$2:$H$45,0)),"")</f>
        <v>Identificación de información necesaria para la operación de la entidad (normograma, presupuesto, talento humano, infraestructura física y tecnológica)</v>
      </c>
      <c r="F51" s="128" t="str">
        <f>+IFERROR(VLOOKUP(C51,Hoja1!$H$2:$I$45,2,0),"")</f>
        <v>Si</v>
      </c>
      <c r="G51" s="139" t="str">
        <f t="shared" si="0"/>
        <v>Existe requerimiento pero se requiere actividades  dirigidas a su mantenimiento dentro del marco de las lineas de defensa.</v>
      </c>
      <c r="H51" s="18"/>
      <c r="I51" s="147">
        <f t="shared" si="1"/>
        <v>1</v>
      </c>
      <c r="J51" s="280"/>
    </row>
    <row r="52" spans="1:10" ht="45.75" thickBot="1" x14ac:dyDescent="0.3">
      <c r="A52" s="1"/>
      <c r="B52" s="1"/>
      <c r="C52" s="141">
        <v>34</v>
      </c>
      <c r="D52" s="290"/>
      <c r="E52" s="133" t="str">
        <f>+IFERROR(INDEX(Hoja1!$E$2:$E$45,MATCH('Análisis Resultados'!C52,Hoja1!$H$2:$H$45,0)),"")</f>
        <v>Si su capacidad e infraestructura lo permite, tecnologías de la información y las comunicaciones que soporten estos procesos</v>
      </c>
      <c r="F52" s="134" t="str">
        <f>+IFERROR(VLOOKUP(C52,Hoja1!$H$2:$I$45,2,0),"")</f>
        <v>Si</v>
      </c>
      <c r="G52" s="140" t="str">
        <f t="shared" si="0"/>
        <v>Existe requerimiento pero se requiere actividades  dirigidas a su mantenimiento dentro del marco de las lineas de defensa.</v>
      </c>
      <c r="H52" s="18"/>
      <c r="I52" s="148">
        <f t="shared" si="1"/>
        <v>1</v>
      </c>
      <c r="J52" s="280"/>
    </row>
    <row r="53" spans="1:10" ht="41.25" customHeight="1" x14ac:dyDescent="0.25">
      <c r="A53" s="1"/>
      <c r="B53" s="1"/>
      <c r="C53" s="141">
        <v>35</v>
      </c>
      <c r="D53" s="284" t="s">
        <v>97</v>
      </c>
      <c r="E53" s="124" t="str">
        <f>+IFERROR(INDEX(Hoja1!$E$2:$E$45,MATCH('Análisis Resultados'!C53,Hoja1!$H$2:$H$45,0)),"")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3" s="125" t="str">
        <f>+IFERROR(VLOOKUP(C53,Hoja1!$H$2:$I$45,2,0),"")</f>
        <v>No</v>
      </c>
      <c r="G53" s="126" t="str">
        <f t="shared" si="0"/>
        <v>No se encuentra el aspecto  por lo tanto la entidad debera generar acciones dirigidas a que se cumpla con el requerimiento.</v>
      </c>
      <c r="H53" s="18"/>
      <c r="I53" s="142">
        <f t="shared" si="1"/>
        <v>0</v>
      </c>
      <c r="J53" s="287">
        <f>+AVERAGE(I53:I62)</f>
        <v>0.6</v>
      </c>
    </row>
    <row r="54" spans="1:10" ht="58.5" customHeight="1" x14ac:dyDescent="0.25">
      <c r="A54" s="1"/>
      <c r="B54" s="1"/>
      <c r="C54" s="141">
        <v>36</v>
      </c>
      <c r="D54" s="285"/>
      <c r="E54" s="127" t="str">
        <f>+IFERROR(INDEX(Hoja1!$E$2:$E$45,MATCH('Análisis Resultados'!C54,Hoja1!$H$2:$H$45,0)),"")</f>
        <v>La entidad participa en el  Comité Municipal de Auditoría?</v>
      </c>
      <c r="F54" s="128" t="str">
        <f>+IFERROR(VLOOKUP(C54,Hoja1!$H$2:$I$45,2,0),"")</f>
        <v>No</v>
      </c>
      <c r="G54" s="129" t="str">
        <f t="shared" si="0"/>
        <v>No se encuentra el aspecto  por lo tanto la entidad debera generar acciones dirigidas a que se cumpla con el requerimiento.</v>
      </c>
      <c r="H54" s="18"/>
      <c r="I54" s="143">
        <f t="shared" si="1"/>
        <v>0</v>
      </c>
      <c r="J54" s="288"/>
    </row>
    <row r="55" spans="1:10" s="1" customFormat="1" ht="84.75" customHeight="1" x14ac:dyDescent="0.25">
      <c r="C55" s="141">
        <v>37</v>
      </c>
      <c r="D55" s="285"/>
      <c r="E55" s="127" t="str">
        <f>+IFERROR(INDEX(Hoja1!$E$2:$E$45,MATCH('Análisis Resultados'!C55,Hoja1!$H$2:$H$45,0)),"")</f>
        <v>Mecanismos de evaluación de la gestión (cronogramas, indicadores, listas de chequeo u otros)</v>
      </c>
      <c r="F55" s="128" t="str">
        <f>+IFERROR(VLOOKUP(C55,Hoja1!$H$2:$I$45,2,0),"")</f>
        <v>En proceso</v>
      </c>
      <c r="G55" s="129" t="str">
        <f t="shared" si="0"/>
        <v>Se encuentra en proceso, pero requiere continuar con acciones dirigidas a contar con dicho aspecto de control.</v>
      </c>
      <c r="H55" s="6"/>
      <c r="I55" s="143">
        <f t="shared" si="1"/>
        <v>0.5</v>
      </c>
      <c r="J55" s="288"/>
    </row>
    <row r="56" spans="1:10" s="1" customFormat="1" ht="78.75" customHeight="1" x14ac:dyDescent="0.25">
      <c r="C56" s="141">
        <v>38</v>
      </c>
      <c r="D56" s="285"/>
      <c r="E56" s="127" t="str">
        <f>+IFERROR(INDEX(Hoja1!$E$2:$E$45,MATCH('Análisis Resultados'!C56,Hoja1!$H$2:$H$45,0)),"")</f>
        <v>Medidas correctivas en caso de detectarse deficiencias en los ejercicios de evaluación, seguimiento o auditoría</v>
      </c>
      <c r="F56" s="128" t="str">
        <f>+IFERROR(VLOOKUP(C56,Hoja1!$H$2:$I$45,2,0),"")</f>
        <v>En proceso</v>
      </c>
      <c r="G56" s="129" t="str">
        <f t="shared" si="0"/>
        <v>Se encuentra en proceso, pero requiere continuar con acciones dirigidas a contar con dicho aspecto de control.</v>
      </c>
      <c r="H56" s="6"/>
      <c r="I56" s="143">
        <f t="shared" si="1"/>
        <v>0.5</v>
      </c>
      <c r="J56" s="288"/>
    </row>
    <row r="57" spans="1:10" s="1" customFormat="1" ht="54.75" customHeight="1" x14ac:dyDescent="0.25">
      <c r="C57" s="141">
        <v>39</v>
      </c>
      <c r="D57" s="285"/>
      <c r="E57" s="127" t="str">
        <f>+IFERROR(INDEX(Hoja1!$E$2:$E$45,MATCH('Análisis Resultados'!C57,Hoja1!$H$2:$H$45,0)),"")</f>
        <v>Diseñar acciones adecuadas para controlar los problemas que afectan el cumplimiento de las metas y objetivos institucionales (riesgos).</v>
      </c>
      <c r="F57" s="128" t="str">
        <f>+IFERROR(VLOOKUP(C57,Hoja1!$H$2:$I$45,2,0),"")</f>
        <v>En proceso</v>
      </c>
      <c r="G57" s="129" t="str">
        <f t="shared" si="0"/>
        <v>Se encuentra en proceso, pero requiere continuar con acciones dirigidas a contar con dicho aspecto de control.</v>
      </c>
      <c r="H57" s="6"/>
      <c r="I57" s="143">
        <f t="shared" si="1"/>
        <v>0.5</v>
      </c>
      <c r="J57" s="288"/>
    </row>
    <row r="58" spans="1:10" s="1" customFormat="1" ht="68.25" customHeight="1" x14ac:dyDescent="0.25">
      <c r="C58" s="141">
        <v>40</v>
      </c>
      <c r="D58" s="285"/>
      <c r="E58" s="127" t="str">
        <f>+IFERROR(INDEX(Hoja1!$E$2:$E$45,MATCH('Análisis Resultados'!C58,Hoja1!$H$2:$H$45,0)),"")</f>
        <v>Ejecutar las acciones de acuerdo a como se diseñaron previamente.</v>
      </c>
      <c r="F58" s="128" t="str">
        <f>+IFERROR(VLOOKUP(C58,Hoja1!$H$2:$I$45,2,0),"")</f>
        <v>En proceso</v>
      </c>
      <c r="G58" s="129" t="str">
        <f t="shared" si="0"/>
        <v>Se encuentra en proceso, pero requiere continuar con acciones dirigidas a contar con dicho aspecto de control.</v>
      </c>
      <c r="H58" s="6"/>
      <c r="I58" s="143">
        <f t="shared" si="1"/>
        <v>0.5</v>
      </c>
      <c r="J58" s="288"/>
    </row>
    <row r="59" spans="1:10" s="1" customFormat="1" ht="45" customHeight="1" x14ac:dyDescent="0.25">
      <c r="C59" s="141">
        <v>41</v>
      </c>
      <c r="D59" s="285"/>
      <c r="E59" s="127" t="str">
        <f>+IFERROR(INDEX(Hoja1!$E$2:$E$45,MATCH('Análisis Resultados'!C59,Hoja1!$H$2:$H$45,0)),"")</f>
        <v>Seguimiento a los planes de mejoramiento suscritos con instancias de control internas o externas</v>
      </c>
      <c r="F59" s="128" t="str">
        <f>+IFERROR(VLOOKUP(C59,Hoja1!$H$2:$I$45,2,0),"")</f>
        <v>Si</v>
      </c>
      <c r="G59" s="129" t="str">
        <f t="shared" si="0"/>
        <v>Existe requerimiento pero se requiere actividades  dirigidas a su mantenimiento dentro del marco de las lineas de defensa.</v>
      </c>
      <c r="H59" s="6"/>
      <c r="I59" s="143">
        <f t="shared" si="1"/>
        <v>1</v>
      </c>
      <c r="J59" s="288"/>
    </row>
    <row r="60" spans="1:10" s="1" customFormat="1" ht="51.75" customHeight="1" x14ac:dyDescent="0.25">
      <c r="C60" s="141">
        <v>42</v>
      </c>
      <c r="D60" s="285"/>
      <c r="E60" s="127" t="str">
        <f>+IFERROR(INDEX(Hoja1!$E$2:$E$45,MATCH('Análisis Resultados'!C60,Hoja1!$H$2:$H$45,0)),"")</f>
        <v>Evitar que los problemas (riesgos) obstaculicen el cumplimiento de los objetivos.</v>
      </c>
      <c r="F60" s="128" t="str">
        <f>+IFERROR(VLOOKUP(C60,Hoja1!$H$2:$I$45,2,0),"")</f>
        <v>Si</v>
      </c>
      <c r="G60" s="129" t="str">
        <f t="shared" si="0"/>
        <v>Existe requerimiento pero se requiere actividades  dirigidas a su mantenimiento dentro del marco de las lineas de defensa.</v>
      </c>
      <c r="H60" s="6"/>
      <c r="I60" s="143">
        <f t="shared" si="1"/>
        <v>1</v>
      </c>
      <c r="J60" s="288"/>
    </row>
    <row r="61" spans="1:10" s="1" customFormat="1" ht="84" customHeight="1" x14ac:dyDescent="0.25">
      <c r="C61" s="141">
        <v>43</v>
      </c>
      <c r="D61" s="285"/>
      <c r="E61" s="127" t="str">
        <f>+IFERROR(INDEX(Hoja1!$E$2:$E$45,MATCH('Análisis Resultados'!C61,Hoja1!$H$2:$H$45,0)),"")</f>
        <v>Controlar los puntos críticos en los procesos.</v>
      </c>
      <c r="F61" s="128" t="str">
        <f>+IFERROR(VLOOKUP(C61,Hoja1!$H$2:$I$45,2,0),"")</f>
        <v>Si</v>
      </c>
      <c r="G61" s="129" t="str">
        <f t="shared" si="0"/>
        <v>Existe requerimiento pero se requiere actividades  dirigidas a su mantenimiento dentro del marco de las lineas de defensa.</v>
      </c>
      <c r="H61" s="6"/>
      <c r="I61" s="143">
        <f t="shared" si="1"/>
        <v>1</v>
      </c>
      <c r="J61" s="288"/>
    </row>
    <row r="62" spans="1:10" s="1" customFormat="1" ht="60" customHeight="1" thickBot="1" x14ac:dyDescent="0.3">
      <c r="C62" s="141">
        <v>44</v>
      </c>
      <c r="D62" s="286"/>
      <c r="E62" s="130" t="str">
        <f>+IFERROR(INDEX(Hoja1!$E$2:$E$45,MATCH('Análisis Resultados'!C62,Hoja1!$H$2:$H$45,0)),"")</f>
        <v>No se gestionan los problemas que afectan el cumplimiento de las funciones y objetivos institucionales(riesgos).</v>
      </c>
      <c r="F62" s="131" t="str">
        <f>+IFERROR(VLOOKUP(C62,Hoja1!$H$2:$I$45,2,0),"")</f>
        <v>Si</v>
      </c>
      <c r="G62" s="132" t="str">
        <f t="shared" si="0"/>
        <v>Existe requerimiento pero se requiere actividades  dirigidas a su mantenimiento dentro del marco de las lineas de defensa.</v>
      </c>
      <c r="H62" s="6"/>
      <c r="I62" s="144">
        <f t="shared" si="1"/>
        <v>1</v>
      </c>
      <c r="J62" s="289"/>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J31:J40"/>
    <mergeCell ref="C12:D12"/>
    <mergeCell ref="E12:F12"/>
    <mergeCell ref="J19:J30"/>
    <mergeCell ref="D53:D62"/>
    <mergeCell ref="J53:J62"/>
    <mergeCell ref="D46:D52"/>
    <mergeCell ref="J46:J52"/>
    <mergeCell ref="D41:D45"/>
    <mergeCell ref="J41:J45"/>
    <mergeCell ref="D31:D40"/>
    <mergeCell ref="C11:D11"/>
    <mergeCell ref="E11:F11"/>
    <mergeCell ref="J17:J18"/>
    <mergeCell ref="D19:D30"/>
    <mergeCell ref="C17:C18"/>
    <mergeCell ref="D17:E17"/>
    <mergeCell ref="F17:F18"/>
    <mergeCell ref="G17:G18"/>
    <mergeCell ref="I17:I18"/>
    <mergeCell ref="C7:K7"/>
    <mergeCell ref="C9:D9"/>
    <mergeCell ref="E9:F9"/>
    <mergeCell ref="C10:D10"/>
    <mergeCell ref="E10:F1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topLeftCell="A29" zoomScale="44" zoomScaleNormal="44" workbookViewId="0">
      <selection activeCell="I34" sqref="I34:M34"/>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316" t="s">
        <v>124</v>
      </c>
      <c r="F4" s="318" t="s">
        <v>191</v>
      </c>
      <c r="G4" s="318"/>
      <c r="H4" s="318"/>
      <c r="I4" s="318"/>
      <c r="J4" s="318"/>
      <c r="K4" s="318"/>
      <c r="L4" s="318"/>
      <c r="M4" s="318"/>
      <c r="N4" s="7"/>
      <c r="O4" s="7"/>
      <c r="P4" s="8"/>
      <c r="Q4" s="1"/>
    </row>
    <row r="5" spans="1:17" ht="45.75" customHeight="1" x14ac:dyDescent="0.3">
      <c r="A5" s="1"/>
      <c r="B5" s="5"/>
      <c r="C5" s="6"/>
      <c r="D5" s="6"/>
      <c r="E5" s="317"/>
      <c r="F5" s="318"/>
      <c r="G5" s="318"/>
      <c r="H5" s="318"/>
      <c r="I5" s="318"/>
      <c r="J5" s="318"/>
      <c r="K5" s="318"/>
      <c r="L5" s="318"/>
      <c r="M5" s="318"/>
      <c r="N5" s="7"/>
      <c r="O5" s="7"/>
      <c r="P5" s="8"/>
      <c r="Q5" s="1"/>
    </row>
    <row r="6" spans="1:17" ht="66.75" customHeight="1" x14ac:dyDescent="0.3">
      <c r="A6" s="1"/>
      <c r="B6" s="5"/>
      <c r="C6" s="6"/>
      <c r="D6" s="6"/>
      <c r="E6" s="96" t="s">
        <v>125</v>
      </c>
      <c r="F6" s="319" t="s">
        <v>234</v>
      </c>
      <c r="G6" s="320"/>
      <c r="H6" s="320"/>
      <c r="I6" s="320"/>
      <c r="J6" s="320"/>
      <c r="K6" s="320"/>
      <c r="L6" s="320"/>
      <c r="M6" s="321"/>
      <c r="N6" s="9"/>
      <c r="O6" s="9"/>
      <c r="P6" s="8"/>
      <c r="Q6" s="1"/>
    </row>
    <row r="7" spans="1:17" ht="17.25" thickBot="1" x14ac:dyDescent="0.35">
      <c r="A7" s="1"/>
      <c r="B7" s="5"/>
      <c r="C7" s="6"/>
      <c r="D7" s="6"/>
      <c r="E7" s="10"/>
      <c r="F7" s="9"/>
      <c r="G7" s="9"/>
      <c r="H7" s="9"/>
      <c r="I7" s="9"/>
      <c r="J7" s="9"/>
      <c r="K7" s="9"/>
      <c r="L7" s="9"/>
      <c r="M7" s="6"/>
      <c r="N7" s="6"/>
      <c r="O7" s="6"/>
      <c r="P7" s="8"/>
      <c r="Q7" s="1"/>
    </row>
    <row r="8" spans="1:17" ht="97.5" customHeight="1" thickBot="1" x14ac:dyDescent="0.3">
      <c r="A8" s="1"/>
      <c r="B8" s="5"/>
      <c r="C8" s="6"/>
      <c r="D8" s="6"/>
      <c r="E8" s="6"/>
      <c r="F8" s="6"/>
      <c r="G8" s="6"/>
      <c r="H8" s="6"/>
      <c r="I8" s="322" t="s">
        <v>126</v>
      </c>
      <c r="J8" s="323"/>
      <c r="K8" s="324"/>
      <c r="L8" s="6"/>
      <c r="M8" s="149">
        <f>+AVERAGE(G26,G28,G30,G32,G34)</f>
        <v>0.7383333333333334</v>
      </c>
      <c r="N8" s="11"/>
      <c r="O8" s="11"/>
      <c r="P8" s="8"/>
      <c r="Q8" s="1"/>
    </row>
    <row r="9" spans="1:17" ht="15.75" x14ac:dyDescent="0.25">
      <c r="A9" s="1"/>
      <c r="B9" s="5"/>
      <c r="C9" s="6"/>
      <c r="D9" s="6"/>
      <c r="E9" s="6"/>
      <c r="F9" s="6"/>
      <c r="G9" s="6"/>
      <c r="H9" s="6"/>
      <c r="I9" s="6"/>
      <c r="J9" s="6"/>
      <c r="K9" s="6"/>
      <c r="L9" s="6"/>
      <c r="M9" s="12"/>
      <c r="N9" s="12"/>
      <c r="O9" s="12"/>
      <c r="P9" s="8"/>
      <c r="Q9" s="1"/>
    </row>
    <row r="10" spans="1:17" x14ac:dyDescent="0.25">
      <c r="A10" s="1"/>
      <c r="B10" s="5"/>
      <c r="C10" s="6"/>
      <c r="D10" s="6"/>
      <c r="E10" s="6"/>
      <c r="F10" s="6"/>
      <c r="G10" s="6"/>
      <c r="H10" s="6"/>
      <c r="I10" s="6"/>
      <c r="J10" s="6"/>
      <c r="K10" s="6"/>
      <c r="L10" s="6"/>
      <c r="M10" s="6"/>
      <c r="N10" s="6"/>
      <c r="O10" s="6"/>
      <c r="P10" s="8"/>
      <c r="Q10" s="1"/>
    </row>
    <row r="11" spans="1:17" x14ac:dyDescent="0.25">
      <c r="A11" s="1"/>
      <c r="B11" s="5"/>
      <c r="C11" s="6"/>
      <c r="D11" s="6"/>
      <c r="E11" s="6"/>
      <c r="F11" s="6"/>
      <c r="G11" s="6"/>
      <c r="H11" s="6"/>
      <c r="I11" s="6"/>
      <c r="J11" s="6"/>
      <c r="K11" s="6"/>
      <c r="L11" s="6"/>
      <c r="M11" s="6"/>
      <c r="N11" s="6"/>
      <c r="O11" s="6"/>
      <c r="P11" s="8"/>
      <c r="Q11" s="1"/>
    </row>
    <row r="12" spans="1:17" x14ac:dyDescent="0.25">
      <c r="A12" s="1"/>
      <c r="B12" s="5"/>
      <c r="C12" s="6"/>
      <c r="D12" s="6"/>
      <c r="E12" s="6"/>
      <c r="F12" s="6"/>
      <c r="G12" s="6"/>
      <c r="H12" s="6"/>
      <c r="I12" s="6"/>
      <c r="J12" s="6"/>
      <c r="K12" s="6"/>
      <c r="L12" s="6"/>
      <c r="M12" s="6"/>
      <c r="N12" s="6"/>
      <c r="O12" s="6"/>
      <c r="P12" s="8"/>
      <c r="Q12" s="1"/>
    </row>
    <row r="13" spans="1:17" x14ac:dyDescent="0.25">
      <c r="A13" s="1"/>
      <c r="B13" s="5"/>
      <c r="C13" s="6"/>
      <c r="D13" s="6"/>
      <c r="E13" s="6"/>
      <c r="F13" s="6"/>
      <c r="G13" s="6"/>
      <c r="H13" s="6"/>
      <c r="I13" s="6"/>
      <c r="J13" s="6"/>
      <c r="K13" s="6"/>
      <c r="L13" s="6"/>
      <c r="M13" s="6"/>
      <c r="N13" s="6"/>
      <c r="O13" s="6"/>
      <c r="P13" s="8"/>
      <c r="Q13" s="1"/>
    </row>
    <row r="14" spans="1:17" x14ac:dyDescent="0.25">
      <c r="A14" s="1"/>
      <c r="B14" s="5"/>
      <c r="C14" s="6"/>
      <c r="D14" s="6"/>
      <c r="E14" s="6"/>
      <c r="F14" s="6"/>
      <c r="G14" s="6"/>
      <c r="H14" s="6"/>
      <c r="I14" s="6"/>
      <c r="J14" s="6"/>
      <c r="K14" s="6"/>
      <c r="L14" s="6"/>
      <c r="M14" s="6"/>
      <c r="N14" s="6"/>
      <c r="O14" s="6"/>
      <c r="P14" s="8"/>
      <c r="Q14" s="1"/>
    </row>
    <row r="15" spans="1:17" x14ac:dyDescent="0.25">
      <c r="A15" s="1"/>
      <c r="B15" s="5"/>
      <c r="C15" s="6"/>
      <c r="D15" s="6"/>
      <c r="E15" s="6"/>
      <c r="F15" s="6"/>
      <c r="G15" s="6"/>
      <c r="H15" s="6"/>
      <c r="I15" s="6"/>
      <c r="J15" s="6"/>
      <c r="K15" s="6"/>
      <c r="L15" s="6"/>
      <c r="M15" s="6"/>
      <c r="N15" s="6"/>
      <c r="O15" s="6"/>
      <c r="P15" s="8"/>
      <c r="Q15" s="1"/>
    </row>
    <row r="16" spans="1:17" x14ac:dyDescent="0.25">
      <c r="A16" s="1"/>
      <c r="B16" s="5"/>
      <c r="C16" s="6"/>
      <c r="D16" s="6"/>
      <c r="E16" s="6"/>
      <c r="F16" s="6"/>
      <c r="G16" s="6"/>
      <c r="H16" s="6"/>
      <c r="I16" s="6"/>
      <c r="J16" s="6"/>
      <c r="K16" s="6"/>
      <c r="L16" s="6"/>
      <c r="M16" s="6"/>
      <c r="N16" s="6"/>
      <c r="O16" s="6"/>
      <c r="P16" s="8"/>
      <c r="Q16" s="1"/>
    </row>
    <row r="17" spans="1:17" x14ac:dyDescent="0.25">
      <c r="A17" s="1"/>
      <c r="B17" s="5"/>
      <c r="C17" s="6"/>
      <c r="D17" s="6"/>
      <c r="E17" s="6"/>
      <c r="F17" s="6"/>
      <c r="G17" s="6"/>
      <c r="H17" s="6"/>
      <c r="I17" s="6"/>
      <c r="J17" s="6"/>
      <c r="K17" s="6"/>
      <c r="L17" s="6"/>
      <c r="M17" s="6"/>
      <c r="N17" s="6"/>
      <c r="O17" s="6"/>
      <c r="P17" s="8"/>
      <c r="Q17" s="1"/>
    </row>
    <row r="18" spans="1:17" ht="23.25" x14ac:dyDescent="0.25">
      <c r="A18" s="1"/>
      <c r="B18" s="5"/>
      <c r="C18" s="325" t="s">
        <v>127</v>
      </c>
      <c r="D18" s="326"/>
      <c r="E18" s="326"/>
      <c r="F18" s="326"/>
      <c r="G18" s="326"/>
      <c r="H18" s="326"/>
      <c r="I18" s="326"/>
      <c r="J18" s="326"/>
      <c r="K18" s="326"/>
      <c r="L18" s="326"/>
      <c r="M18" s="327"/>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150" customHeight="1" x14ac:dyDescent="0.25">
      <c r="A20" s="1"/>
      <c r="B20" s="5"/>
      <c r="C20" s="328" t="s">
        <v>128</v>
      </c>
      <c r="D20" s="329"/>
      <c r="E20" s="152" t="s">
        <v>76</v>
      </c>
      <c r="F20" s="330" t="s">
        <v>235</v>
      </c>
      <c r="G20" s="330"/>
      <c r="H20" s="330"/>
      <c r="I20" s="330"/>
      <c r="J20" s="330"/>
      <c r="K20" s="330"/>
      <c r="L20" s="330"/>
      <c r="M20" s="331"/>
      <c r="N20" s="15"/>
      <c r="O20" s="15"/>
      <c r="P20" s="8"/>
      <c r="Q20" s="1"/>
    </row>
    <row r="21" spans="1:17" ht="126.75" customHeight="1" x14ac:dyDescent="0.25">
      <c r="A21" s="1"/>
      <c r="B21" s="5"/>
      <c r="C21" s="312" t="s">
        <v>129</v>
      </c>
      <c r="D21" s="313"/>
      <c r="E21" s="153" t="s">
        <v>36</v>
      </c>
      <c r="F21" s="332" t="s">
        <v>236</v>
      </c>
      <c r="G21" s="332"/>
      <c r="H21" s="332"/>
      <c r="I21" s="332"/>
      <c r="J21" s="332"/>
      <c r="K21" s="332"/>
      <c r="L21" s="332"/>
      <c r="M21" s="333"/>
      <c r="N21" s="15"/>
      <c r="O21" s="15"/>
      <c r="P21" s="8"/>
      <c r="Q21" s="1"/>
    </row>
    <row r="22" spans="1:17" ht="151.5" customHeight="1" thickBot="1" x14ac:dyDescent="0.3">
      <c r="A22" s="1"/>
      <c r="B22" s="5"/>
      <c r="C22" s="314" t="s">
        <v>130</v>
      </c>
      <c r="D22" s="315"/>
      <c r="E22" s="154" t="s">
        <v>39</v>
      </c>
      <c r="F22" s="334" t="s">
        <v>237</v>
      </c>
      <c r="G22" s="334"/>
      <c r="H22" s="334"/>
      <c r="I22" s="334"/>
      <c r="J22" s="334"/>
      <c r="K22" s="334"/>
      <c r="L22" s="334"/>
      <c r="M22" s="335"/>
      <c r="N22" s="15"/>
      <c r="O22" s="15"/>
      <c r="P22" s="8"/>
      <c r="Q22" s="1"/>
    </row>
    <row r="23" spans="1:17" x14ac:dyDescent="0.25">
      <c r="A23" s="1"/>
      <c r="B23" s="5"/>
      <c r="C23" s="6"/>
      <c r="D23" s="6"/>
      <c r="E23" s="6"/>
      <c r="F23" s="6"/>
      <c r="G23" s="16"/>
      <c r="H23" s="6"/>
      <c r="I23" s="6"/>
      <c r="J23" s="6"/>
      <c r="K23" s="6"/>
      <c r="L23" s="6"/>
      <c r="M23" s="6"/>
      <c r="N23" s="6"/>
      <c r="O23" s="6"/>
      <c r="P23" s="8"/>
      <c r="Q23" s="1"/>
    </row>
    <row r="24" spans="1:17" ht="78.75" x14ac:dyDescent="0.25">
      <c r="A24" s="1"/>
      <c r="B24" s="5"/>
      <c r="C24" s="99" t="s">
        <v>131</v>
      </c>
      <c r="D24" s="100"/>
      <c r="E24" s="99" t="s">
        <v>132</v>
      </c>
      <c r="F24" s="100"/>
      <c r="G24" s="99" t="s">
        <v>133</v>
      </c>
      <c r="H24" s="100"/>
      <c r="I24" s="306" t="s">
        <v>134</v>
      </c>
      <c r="J24" s="306"/>
      <c r="K24" s="306"/>
      <c r="L24" s="306"/>
      <c r="M24" s="306"/>
      <c r="N24" s="33"/>
      <c r="O24" s="33"/>
      <c r="P24" s="8"/>
      <c r="Q24" s="17"/>
    </row>
    <row r="25" spans="1:17" ht="13.5" customHeight="1" thickBot="1" x14ac:dyDescent="0.3">
      <c r="A25" s="1"/>
      <c r="B25" s="5"/>
      <c r="C25" s="32"/>
      <c r="D25" s="18"/>
      <c r="E25" s="18"/>
      <c r="F25" s="18"/>
      <c r="G25" s="18"/>
      <c r="H25" s="18"/>
      <c r="I25" s="310"/>
      <c r="J25" s="310"/>
      <c r="K25" s="310"/>
      <c r="L25" s="310"/>
      <c r="M25" s="310"/>
      <c r="N25" s="34"/>
      <c r="O25" s="34"/>
      <c r="P25" s="8"/>
      <c r="Q25" s="1"/>
    </row>
    <row r="26" spans="1:17" ht="155.25" customHeight="1" thickBot="1" x14ac:dyDescent="0.3">
      <c r="A26" s="1"/>
      <c r="B26" s="5"/>
      <c r="C26" s="90" t="s">
        <v>32</v>
      </c>
      <c r="D26" s="19"/>
      <c r="E26" s="150" t="str">
        <f>+IF(Hoja1!K2&gt;=0.5,"Si","No")</f>
        <v>Si</v>
      </c>
      <c r="F26" s="20"/>
      <c r="G26" s="151">
        <f>+Hoja1!K2</f>
        <v>0.79166666666666663</v>
      </c>
      <c r="H26" s="20"/>
      <c r="I26" s="307" t="s">
        <v>238</v>
      </c>
      <c r="J26" s="308"/>
      <c r="K26" s="308"/>
      <c r="L26" s="308"/>
      <c r="M26" s="309"/>
      <c r="N26" s="35"/>
      <c r="O26" s="36"/>
      <c r="P26" s="21"/>
      <c r="Q26" s="22"/>
    </row>
    <row r="27" spans="1:17" ht="27" thickBot="1" x14ac:dyDescent="0.45">
      <c r="A27" s="1"/>
      <c r="B27" s="5"/>
      <c r="C27" s="91"/>
      <c r="D27" s="23"/>
      <c r="E27" s="98"/>
      <c r="F27" s="18"/>
      <c r="G27" s="24"/>
      <c r="H27" s="18"/>
      <c r="I27" s="311"/>
      <c r="J27" s="311"/>
      <c r="K27" s="311"/>
      <c r="L27" s="311"/>
      <c r="M27" s="311"/>
      <c r="N27" s="37"/>
      <c r="O27" s="37"/>
      <c r="P27" s="8"/>
      <c r="Q27" s="1"/>
    </row>
    <row r="28" spans="1:17" ht="111.75" customHeight="1" thickBot="1" x14ac:dyDescent="0.5">
      <c r="A28" s="1"/>
      <c r="B28" s="5"/>
      <c r="C28" s="92" t="s">
        <v>135</v>
      </c>
      <c r="D28" s="19"/>
      <c r="E28" s="150" t="str">
        <f>+IF(Hoja1!K14&gt;=0.5,"Si","No")</f>
        <v>Si</v>
      </c>
      <c r="F28" s="18"/>
      <c r="G28" s="151">
        <f>+Hoja1!K14</f>
        <v>0.6</v>
      </c>
      <c r="H28" s="18"/>
      <c r="I28" s="297" t="s">
        <v>239</v>
      </c>
      <c r="J28" s="298"/>
      <c r="K28" s="298"/>
      <c r="L28" s="298"/>
      <c r="M28" s="299"/>
      <c r="N28" s="35"/>
      <c r="O28" s="35"/>
      <c r="P28" s="8"/>
      <c r="Q28" s="1"/>
    </row>
    <row r="29" spans="1:17" ht="27" thickBot="1" x14ac:dyDescent="0.45">
      <c r="A29" s="1"/>
      <c r="B29" s="5"/>
      <c r="C29" s="91"/>
      <c r="D29" s="23"/>
      <c r="E29" s="98"/>
      <c r="F29" s="18"/>
      <c r="G29" s="24"/>
      <c r="H29" s="18"/>
      <c r="I29" s="311"/>
      <c r="J29" s="311"/>
      <c r="K29" s="311"/>
      <c r="L29" s="311"/>
      <c r="M29" s="311"/>
      <c r="N29" s="37"/>
      <c r="O29" s="37"/>
      <c r="P29" s="8"/>
      <c r="Q29" s="1"/>
    </row>
    <row r="30" spans="1:17" ht="123" customHeight="1" thickBot="1" x14ac:dyDescent="0.55000000000000004">
      <c r="A30" s="1"/>
      <c r="B30" s="5"/>
      <c r="C30" s="93" t="s">
        <v>136</v>
      </c>
      <c r="D30" s="19"/>
      <c r="E30" s="150" t="str">
        <f>+IF(Hoja1!K24&gt;=0.5,"Si","No")</f>
        <v>Si</v>
      </c>
      <c r="F30" s="18"/>
      <c r="G30" s="151">
        <f>+Hoja1!K24</f>
        <v>0.7</v>
      </c>
      <c r="H30" s="18"/>
      <c r="I30" s="300" t="s">
        <v>240</v>
      </c>
      <c r="J30" s="301"/>
      <c r="K30" s="301"/>
      <c r="L30" s="301"/>
      <c r="M30" s="302"/>
      <c r="N30" s="35"/>
      <c r="O30" s="35"/>
      <c r="P30" s="8"/>
      <c r="Q30" s="1"/>
    </row>
    <row r="31" spans="1:17" ht="27" thickBot="1" x14ac:dyDescent="0.45">
      <c r="A31" s="1"/>
      <c r="B31" s="5"/>
      <c r="C31" s="91"/>
      <c r="D31" s="23"/>
      <c r="E31" s="98"/>
      <c r="F31" s="18"/>
      <c r="G31" s="24"/>
      <c r="H31" s="18"/>
      <c r="I31" s="311"/>
      <c r="J31" s="311"/>
      <c r="K31" s="311"/>
      <c r="L31" s="311"/>
      <c r="M31" s="311"/>
      <c r="N31" s="37"/>
      <c r="O31" s="37"/>
      <c r="P31" s="8"/>
      <c r="Q31" s="1"/>
    </row>
    <row r="32" spans="1:17" ht="171" customHeight="1" thickBot="1" x14ac:dyDescent="0.55000000000000004">
      <c r="A32" s="1"/>
      <c r="B32" s="5"/>
      <c r="C32" s="94" t="s">
        <v>87</v>
      </c>
      <c r="D32" s="19"/>
      <c r="E32" s="150" t="str">
        <f>+IF(Hoja1!K29&gt;=0.5,"Si","No")</f>
        <v>Si</v>
      </c>
      <c r="F32" s="18"/>
      <c r="G32" s="151">
        <f>+Hoja1!K29</f>
        <v>1</v>
      </c>
      <c r="H32" s="18"/>
      <c r="I32" s="303" t="s">
        <v>241</v>
      </c>
      <c r="J32" s="304"/>
      <c r="K32" s="304"/>
      <c r="L32" s="304"/>
      <c r="M32" s="305"/>
      <c r="N32" s="35"/>
      <c r="O32" s="35"/>
      <c r="P32" s="8"/>
      <c r="Q32" s="1"/>
    </row>
    <row r="33" spans="1:17" ht="27" thickBot="1" x14ac:dyDescent="0.45">
      <c r="A33" s="1"/>
      <c r="B33" s="5"/>
      <c r="C33" s="91"/>
      <c r="D33" s="23"/>
      <c r="E33" s="98"/>
      <c r="F33" s="18"/>
      <c r="G33" s="24"/>
      <c r="H33" s="18"/>
      <c r="I33" s="311"/>
      <c r="J33" s="311"/>
      <c r="K33" s="311"/>
      <c r="L33" s="311"/>
      <c r="M33" s="311"/>
      <c r="N33" s="37"/>
      <c r="O33" s="37"/>
      <c r="P33" s="8"/>
      <c r="Q33" s="1"/>
    </row>
    <row r="34" spans="1:17" ht="164.25" customHeight="1" thickBot="1" x14ac:dyDescent="0.5">
      <c r="A34" s="1"/>
      <c r="B34" s="5"/>
      <c r="C34" s="95" t="s">
        <v>137</v>
      </c>
      <c r="D34" s="19"/>
      <c r="E34" s="97" t="str">
        <f>+IF(Hoja1!K36&gt;=0.5,"Si","No")</f>
        <v>Si</v>
      </c>
      <c r="F34" s="18"/>
      <c r="G34" s="151">
        <f>+Hoja1!K36</f>
        <v>0.6</v>
      </c>
      <c r="H34" s="18"/>
      <c r="I34" s="297" t="s">
        <v>242</v>
      </c>
      <c r="J34" s="298"/>
      <c r="K34" s="298"/>
      <c r="L34" s="298"/>
      <c r="M34" s="299"/>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C21:D21"/>
    <mergeCell ref="C22:D22"/>
    <mergeCell ref="E4:E5"/>
    <mergeCell ref="F4:M5"/>
    <mergeCell ref="F6:M6"/>
    <mergeCell ref="I8:K8"/>
    <mergeCell ref="C18:M18"/>
    <mergeCell ref="C20:D20"/>
    <mergeCell ref="F20:M20"/>
    <mergeCell ref="F21:M21"/>
    <mergeCell ref="F22:M22"/>
    <mergeCell ref="I34:M34"/>
    <mergeCell ref="I30:M30"/>
    <mergeCell ref="I32:M32"/>
    <mergeCell ref="I24:M24"/>
    <mergeCell ref="I26:M26"/>
    <mergeCell ref="I28:M28"/>
    <mergeCell ref="I25:M25"/>
    <mergeCell ref="I27:M27"/>
    <mergeCell ref="I29:M29"/>
    <mergeCell ref="I31:M31"/>
    <mergeCell ref="I33:M33"/>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55" t="s">
        <v>25</v>
      </c>
      <c r="B1" s="155" t="s">
        <v>6</v>
      </c>
      <c r="C1" s="156" t="s">
        <v>8</v>
      </c>
      <c r="D1" s="157" t="s">
        <v>26</v>
      </c>
      <c r="E1" s="157" t="s">
        <v>27</v>
      </c>
      <c r="F1" s="157" t="s">
        <v>138</v>
      </c>
      <c r="G1" s="158" t="s">
        <v>139</v>
      </c>
      <c r="H1" s="158" t="s">
        <v>140</v>
      </c>
      <c r="I1" s="158" t="s">
        <v>119</v>
      </c>
      <c r="J1" s="158" t="s">
        <v>141</v>
      </c>
      <c r="K1" s="158" t="s">
        <v>142</v>
      </c>
    </row>
    <row r="2" spans="1:11" x14ac:dyDescent="0.25">
      <c r="A2" s="159" t="s">
        <v>143</v>
      </c>
      <c r="B2" s="159" t="str">
        <f>+VLOOKUP(A2,'Estado SCI'!$A$16:$C$59,3,0)</f>
        <v>AMBIENTE DE CONTROL</v>
      </c>
      <c r="C2" s="159" t="s">
        <v>33</v>
      </c>
      <c r="D2" s="159" t="s">
        <v>34</v>
      </c>
      <c r="E2" s="159" t="s">
        <v>35</v>
      </c>
      <c r="F2" s="159" t="str">
        <f>+VLOOKUP(A2,'Estado SCI'!$A$16:$I$59,9,0)</f>
        <v>Oportunidad de mejora</v>
      </c>
      <c r="G2" s="159">
        <f>+VLOOKUP(A2,'Estado SCI'!$A$16:$L$59,12,0)</f>
        <v>10.122999999999999</v>
      </c>
      <c r="H2" s="159">
        <f t="shared" ref="H2:H45" si="0">+_xlfn.RANK.EQ(G2,$G$2:$G$45,1)</f>
        <v>2</v>
      </c>
      <c r="I2" s="159" t="str">
        <f>+IF(VLOOKUP(A2,'Estado SCI'!$A$16:$G$59,7,0)="","",VLOOKUP(A2,'Estado SCI'!$A$16:$G$59,7,0))</f>
        <v>En proceso</v>
      </c>
      <c r="J2" s="160">
        <f>+IF(I2="Si",1,IF(I2="En proceso",0.5,0))</f>
        <v>0.5</v>
      </c>
      <c r="K2" s="161">
        <f t="shared" ref="K2:K45" si="1">+AVERAGEIF($B$2:$B$45,B2,$J$2:$J$45)</f>
        <v>0.79166666666666663</v>
      </c>
    </row>
    <row r="3" spans="1:11" x14ac:dyDescent="0.25">
      <c r="A3" s="159" t="s">
        <v>144</v>
      </c>
      <c r="B3" s="159" t="s">
        <v>32</v>
      </c>
      <c r="C3" s="159" t="s">
        <v>33</v>
      </c>
      <c r="D3" s="159" t="s">
        <v>37</v>
      </c>
      <c r="E3" s="159" t="s">
        <v>38</v>
      </c>
      <c r="F3" s="159" t="str">
        <f>+VLOOKUP(A3,'Estado SCI'!$A$16:$I$59,9,0)</f>
        <v>Mantenimiento del control</v>
      </c>
      <c r="G3" s="159">
        <f>+VLOOKUP(A3,'Estado SCI'!$A$16:$L$59,12,0)</f>
        <v>20.1234</v>
      </c>
      <c r="H3" s="159">
        <f t="shared" si="0"/>
        <v>5</v>
      </c>
      <c r="I3" s="159" t="str">
        <f>+IF(VLOOKUP(A3,'Estado SCI'!$A$16:$G$59,7,0)="","",VLOOKUP(A3,'Estado SCI'!$A$16:$G$59,7,0))</f>
        <v>Si</v>
      </c>
      <c r="J3" s="160">
        <f t="shared" ref="J3:J45" si="2">+IF(I3="Si",1,IF(I3="En proceso",0.5,0))</f>
        <v>1</v>
      </c>
      <c r="K3" s="161">
        <f t="shared" si="1"/>
        <v>0.79166666666666663</v>
      </c>
    </row>
    <row r="4" spans="1:11" x14ac:dyDescent="0.25">
      <c r="A4" s="159" t="s">
        <v>145</v>
      </c>
      <c r="B4" s="159" t="s">
        <v>32</v>
      </c>
      <c r="C4" s="159" t="s">
        <v>33</v>
      </c>
      <c r="D4" s="159" t="s">
        <v>40</v>
      </c>
      <c r="E4" s="159" t="s">
        <v>41</v>
      </c>
      <c r="F4" s="159" t="str">
        <f>+VLOOKUP(A4,'Estado SCI'!$A$16:$I$59,9,0)</f>
        <v>Mantenimiento del control</v>
      </c>
      <c r="G4" s="159">
        <f>+VLOOKUP(A4,'Estado SCI'!$A$16:$L$59,12,0)</f>
        <v>20.123449999999998</v>
      </c>
      <c r="H4" s="159">
        <f t="shared" si="0"/>
        <v>6</v>
      </c>
      <c r="I4" s="159" t="str">
        <f>+IF(VLOOKUP(A4,'Estado SCI'!$A$16:$G$59,7,0)="","",VLOOKUP(A4,'Estado SCI'!$A$16:$G$59,7,0))</f>
        <v>Si</v>
      </c>
      <c r="J4" s="160">
        <f t="shared" si="2"/>
        <v>1</v>
      </c>
      <c r="K4" s="161">
        <f t="shared" si="1"/>
        <v>0.79166666666666663</v>
      </c>
    </row>
    <row r="5" spans="1:11" x14ac:dyDescent="0.25">
      <c r="A5" s="159" t="s">
        <v>146</v>
      </c>
      <c r="B5" s="159" t="s">
        <v>32</v>
      </c>
      <c r="C5" s="159" t="s">
        <v>33</v>
      </c>
      <c r="D5" s="159" t="s">
        <v>42</v>
      </c>
      <c r="E5" s="159" t="s">
        <v>43</v>
      </c>
      <c r="F5" s="159" t="str">
        <f>+VLOOKUP(A5,'Estado SCI'!$A$16:$I$59,9,0)</f>
        <v>Mantenimiento del control</v>
      </c>
      <c r="G5" s="159">
        <f>+VLOOKUP(A5,'Estado SCI'!$A$16:$L$59,12,0)</f>
        <v>20.123456000000001</v>
      </c>
      <c r="H5" s="159">
        <f t="shared" si="0"/>
        <v>7</v>
      </c>
      <c r="I5" s="159" t="str">
        <f>+IF(VLOOKUP(A5,'Estado SCI'!$A$16:$G$59,7,0)="","",VLOOKUP(A5,'Estado SCI'!$A$16:$G$59,7,0))</f>
        <v>Si</v>
      </c>
      <c r="J5" s="160">
        <f t="shared" si="2"/>
        <v>1</v>
      </c>
      <c r="K5" s="161">
        <f t="shared" si="1"/>
        <v>0.79166666666666663</v>
      </c>
    </row>
    <row r="6" spans="1:11" x14ac:dyDescent="0.25">
      <c r="A6" s="159" t="s">
        <v>147</v>
      </c>
      <c r="B6" s="159" t="s">
        <v>32</v>
      </c>
      <c r="C6" s="159" t="s">
        <v>33</v>
      </c>
      <c r="D6" s="159" t="s">
        <v>44</v>
      </c>
      <c r="E6" s="159" t="s">
        <v>45</v>
      </c>
      <c r="F6" s="159" t="str">
        <f>+VLOOKUP(A6,'Estado SCI'!$A$16:$I$59,9,0)</f>
        <v>Mantenimiento del control</v>
      </c>
      <c r="G6" s="159">
        <f>+VLOOKUP(A6,'Estado SCI'!$A$16:$L$59,12,0)</f>
        <v>20.123456780000001</v>
      </c>
      <c r="H6" s="159">
        <f t="shared" si="0"/>
        <v>8</v>
      </c>
      <c r="I6" s="159" t="str">
        <f>+IF(VLOOKUP(A6,'Estado SCI'!$A$16:$G$59,7,0)="","",VLOOKUP(A6,'Estado SCI'!$A$16:$G$59,7,0))</f>
        <v>Si</v>
      </c>
      <c r="J6" s="160">
        <f t="shared" si="2"/>
        <v>1</v>
      </c>
      <c r="K6" s="161">
        <f t="shared" si="1"/>
        <v>0.79166666666666663</v>
      </c>
    </row>
    <row r="7" spans="1:11" x14ac:dyDescent="0.25">
      <c r="A7" s="159" t="s">
        <v>148</v>
      </c>
      <c r="B7" s="159" t="s">
        <v>32</v>
      </c>
      <c r="C7" s="159" t="s">
        <v>33</v>
      </c>
      <c r="D7" s="159" t="s">
        <v>46</v>
      </c>
      <c r="E7" s="159" t="s">
        <v>47</v>
      </c>
      <c r="F7" s="159" t="str">
        <f>+VLOOKUP(A7,'Estado SCI'!$A$16:$I$59,9,0)</f>
        <v>Mantenimiento del control</v>
      </c>
      <c r="G7" s="159">
        <f>+VLOOKUP(A7,'Estado SCI'!$A$16:$L$59,12,0)</f>
        <v>20.123456788999999</v>
      </c>
      <c r="H7" s="159">
        <f t="shared" si="0"/>
        <v>9</v>
      </c>
      <c r="I7" s="159" t="str">
        <f>+IF(VLOOKUP(A7,'Estado SCI'!$A$16:$G$59,7,0)="","",VLOOKUP(A7,'Estado SCI'!$A$16:$G$59,7,0))</f>
        <v>Si</v>
      </c>
      <c r="J7" s="160">
        <f t="shared" si="2"/>
        <v>1</v>
      </c>
      <c r="K7" s="161">
        <f t="shared" si="1"/>
        <v>0.79166666666666663</v>
      </c>
    </row>
    <row r="8" spans="1:11" x14ac:dyDescent="0.25">
      <c r="A8" s="159" t="s">
        <v>149</v>
      </c>
      <c r="B8" s="159" t="s">
        <v>32</v>
      </c>
      <c r="C8" s="159" t="s">
        <v>33</v>
      </c>
      <c r="D8" s="159" t="s">
        <v>48</v>
      </c>
      <c r="E8" s="159" t="s">
        <v>49</v>
      </c>
      <c r="F8" s="159" t="str">
        <f>+VLOOKUP(A8,'Estado SCI'!$A$16:$I$59,9,0)</f>
        <v>Mantenimiento del control</v>
      </c>
      <c r="G8" s="159">
        <f>+VLOOKUP(A8,'Estado SCI'!$A$16:$L$59,12,0)</f>
        <v>20.1234567891</v>
      </c>
      <c r="H8" s="159">
        <f t="shared" si="0"/>
        <v>10</v>
      </c>
      <c r="I8" s="159" t="str">
        <f>+IF(VLOOKUP(A8,'Estado SCI'!$A$16:$G$59,7,0)="","",VLOOKUP(A8,'Estado SCI'!$A$16:$G$59,7,0))</f>
        <v>Si</v>
      </c>
      <c r="J8" s="160">
        <f t="shared" si="2"/>
        <v>1</v>
      </c>
      <c r="K8" s="161">
        <f t="shared" si="1"/>
        <v>0.79166666666666663</v>
      </c>
    </row>
    <row r="9" spans="1:11" x14ac:dyDescent="0.25">
      <c r="A9" s="159" t="s">
        <v>150</v>
      </c>
      <c r="B9" s="159" t="s">
        <v>32</v>
      </c>
      <c r="C9" s="159" t="s">
        <v>33</v>
      </c>
      <c r="D9" s="159" t="s">
        <v>50</v>
      </c>
      <c r="E9" s="159" t="s">
        <v>51</v>
      </c>
      <c r="F9" s="159" t="str">
        <f>+VLOOKUP(A9,'Estado SCI'!$A$16:$I$59,9,0)</f>
        <v>Oportunidad de mejora</v>
      </c>
      <c r="G9" s="159">
        <f>+VLOOKUP(A9,'Estado SCI'!$A$16:$L$59,12,0)</f>
        <v>10.12345678912</v>
      </c>
      <c r="H9" s="159">
        <f t="shared" si="0"/>
        <v>3</v>
      </c>
      <c r="I9" s="159" t="str">
        <f>+IF(VLOOKUP(A9,'Estado SCI'!$A$16:$G$59,7,0)="","",VLOOKUP(A9,'Estado SCI'!$A$16:$G$59,7,0))</f>
        <v>En proceso</v>
      </c>
      <c r="J9" s="160">
        <f t="shared" si="2"/>
        <v>0.5</v>
      </c>
      <c r="K9" s="161">
        <f t="shared" si="1"/>
        <v>0.79166666666666663</v>
      </c>
    </row>
    <row r="10" spans="1:11" x14ac:dyDescent="0.25">
      <c r="A10" s="159" t="s">
        <v>151</v>
      </c>
      <c r="B10" s="159" t="s">
        <v>32</v>
      </c>
      <c r="C10" s="159" t="s">
        <v>33</v>
      </c>
      <c r="D10" s="159" t="s">
        <v>52</v>
      </c>
      <c r="E10" s="159" t="s">
        <v>53</v>
      </c>
      <c r="F10" s="159" t="str">
        <f>+VLOOKUP(A10,'Estado SCI'!$A$16:$I$59,9,0)</f>
        <v>Oportunidad de mejora</v>
      </c>
      <c r="G10" s="159">
        <f>+VLOOKUP(A10,'Estado SCI'!$A$16:$L$59,12,0)</f>
        <v>10.123456789123001</v>
      </c>
      <c r="H10" s="159">
        <f t="shared" si="0"/>
        <v>4</v>
      </c>
      <c r="I10" s="159" t="str">
        <f>+IF(VLOOKUP(A10,'Estado SCI'!$A$16:$G$59,7,0)="","",VLOOKUP(A10,'Estado SCI'!$A$16:$G$59,7,0))</f>
        <v>En proceso</v>
      </c>
      <c r="J10" s="160">
        <f t="shared" si="2"/>
        <v>0.5</v>
      </c>
      <c r="K10" s="161">
        <f t="shared" si="1"/>
        <v>0.79166666666666663</v>
      </c>
    </row>
    <row r="11" spans="1:11" x14ac:dyDescent="0.25">
      <c r="A11" s="159" t="s">
        <v>152</v>
      </c>
      <c r="B11" s="159" t="s">
        <v>32</v>
      </c>
      <c r="C11" s="159" t="s">
        <v>33</v>
      </c>
      <c r="D11" s="159" t="s">
        <v>54</v>
      </c>
      <c r="E11" s="159" t="s">
        <v>55</v>
      </c>
      <c r="F11" s="159" t="str">
        <f>+VLOOKUP(A11,'Estado SCI'!$A$16:$I$59,9,0)</f>
        <v>Deficiencia de control</v>
      </c>
      <c r="G11" s="159">
        <f>+VLOOKUP(A11,'Estado SCI'!$A$16:$L$59,12,0)</f>
        <v>0.1234567891234</v>
      </c>
      <c r="H11" s="159">
        <f t="shared" si="0"/>
        <v>1</v>
      </c>
      <c r="I11" s="159" t="str">
        <f>+IF(VLOOKUP(A11,'Estado SCI'!$A$16:$G$59,7,0)="","",VLOOKUP(A11,'Estado SCI'!$A$16:$G$59,7,0))</f>
        <v>No</v>
      </c>
      <c r="J11" s="160">
        <f t="shared" si="2"/>
        <v>0</v>
      </c>
      <c r="K11" s="161">
        <f t="shared" si="1"/>
        <v>0.79166666666666663</v>
      </c>
    </row>
    <row r="12" spans="1:11" x14ac:dyDescent="0.25">
      <c r="A12" s="159" t="s">
        <v>153</v>
      </c>
      <c r="B12" s="159" t="s">
        <v>32</v>
      </c>
      <c r="C12" s="159" t="s">
        <v>33</v>
      </c>
      <c r="D12" s="159" t="s">
        <v>56</v>
      </c>
      <c r="E12" s="159" t="s">
        <v>57</v>
      </c>
      <c r="F12" s="159" t="str">
        <f>+VLOOKUP(A12,'Estado SCI'!$A$16:$I$59,9,0)</f>
        <v>Mantenimiento del control</v>
      </c>
      <c r="G12" s="159">
        <f>+VLOOKUP(A12,'Estado SCI'!$A$16:$L$59,12,0)</f>
        <v>20.123456789123448</v>
      </c>
      <c r="H12" s="159">
        <f t="shared" si="0"/>
        <v>11</v>
      </c>
      <c r="I12" s="159" t="str">
        <f>+IF(VLOOKUP(A12,'Estado SCI'!$A$16:$G$59,7,0)="","",VLOOKUP(A12,'Estado SCI'!$A$16:$G$59,7,0))</f>
        <v>Si</v>
      </c>
      <c r="J12" s="160">
        <f t="shared" si="2"/>
        <v>1</v>
      </c>
      <c r="K12" s="161">
        <f t="shared" si="1"/>
        <v>0.79166666666666663</v>
      </c>
    </row>
    <row r="13" spans="1:11" x14ac:dyDescent="0.25">
      <c r="A13" s="159" t="s">
        <v>154</v>
      </c>
      <c r="B13" s="159" t="s">
        <v>32</v>
      </c>
      <c r="C13" s="159" t="s">
        <v>33</v>
      </c>
      <c r="D13" s="159" t="s">
        <v>58</v>
      </c>
      <c r="E13" s="159" t="s">
        <v>59</v>
      </c>
      <c r="F13" s="159" t="str">
        <f>+VLOOKUP(A13,'Estado SCI'!$A$16:$I$59,9,0)</f>
        <v>Mantenimiento del control</v>
      </c>
      <c r="G13" s="159">
        <f>+VLOOKUP(A13,'Estado SCI'!$A$16:$L$59,12,0)</f>
        <v>20.123456789123455</v>
      </c>
      <c r="H13" s="159">
        <f t="shared" si="0"/>
        <v>12</v>
      </c>
      <c r="I13" s="159" t="str">
        <f>+IF(VLOOKUP(A13,'Estado SCI'!$A$16:$G$59,7,0)="","",VLOOKUP(A13,'Estado SCI'!$A$16:$G$59,7,0))</f>
        <v>Si</v>
      </c>
      <c r="J13" s="160">
        <f t="shared" si="2"/>
        <v>1</v>
      </c>
      <c r="K13" s="161">
        <f t="shared" si="1"/>
        <v>0.79166666666666663</v>
      </c>
    </row>
    <row r="14" spans="1:11" ht="15" customHeight="1" x14ac:dyDescent="0.25">
      <c r="A14" s="159" t="s">
        <v>155</v>
      </c>
      <c r="B14" s="159" t="str">
        <f>+VLOOKUP(A14,'Estado SCI'!$A$16:$C$59,3,0)</f>
        <v>EVALUACION DEL RIESGO</v>
      </c>
      <c r="C14" s="159" t="s">
        <v>62</v>
      </c>
      <c r="D14" s="159" t="s">
        <v>34</v>
      </c>
      <c r="E14" s="159" t="s">
        <v>156</v>
      </c>
      <c r="F14" s="159" t="str">
        <f>+VLOOKUP(A14,'Estado SCI'!$A$16:$I$59,9,0)</f>
        <v>Mantenimiento del control</v>
      </c>
      <c r="G14" s="159">
        <f>+VLOOKUP(A14,'Estado SCI'!$A$16:$L$59,12,0)</f>
        <v>40.229999999999997</v>
      </c>
      <c r="H14" s="159">
        <f t="shared" si="0"/>
        <v>19</v>
      </c>
      <c r="I14" s="159" t="str">
        <f>+IF(VLOOKUP(A14,'Estado SCI'!$A$16:$G$59,7,0)="","",VLOOKUP(A14,'Estado SCI'!$A$16:$G$59,7,0))</f>
        <v>Si</v>
      </c>
      <c r="J14" s="160">
        <f t="shared" si="2"/>
        <v>1</v>
      </c>
      <c r="K14" s="161">
        <f t="shared" si="1"/>
        <v>0.6</v>
      </c>
    </row>
    <row r="15" spans="1:11" ht="15" customHeight="1" x14ac:dyDescent="0.25">
      <c r="A15" s="159" t="s">
        <v>157</v>
      </c>
      <c r="B15" s="159" t="s">
        <v>61</v>
      </c>
      <c r="C15" s="159" t="s">
        <v>62</v>
      </c>
      <c r="D15" s="159" t="s">
        <v>37</v>
      </c>
      <c r="E15" s="159" t="s">
        <v>158</v>
      </c>
      <c r="F15" s="159" t="str">
        <f>+VLOOKUP(A15,'Estado SCI'!$A$16:$I$59,9,0)</f>
        <v>Mantenimiento del control</v>
      </c>
      <c r="G15" s="159">
        <f>+VLOOKUP(A15,'Estado SCI'!$A$16:$L$59,12,0)</f>
        <v>40.234000000000002</v>
      </c>
      <c r="H15" s="159">
        <f t="shared" si="0"/>
        <v>20</v>
      </c>
      <c r="I15" s="159" t="str">
        <f>+IF(VLOOKUP(A15,'Estado SCI'!$A$16:$G$59,7,0)="","",VLOOKUP(A15,'Estado SCI'!$A$16:$G$59,7,0))</f>
        <v>Si</v>
      </c>
      <c r="J15" s="160">
        <f t="shared" si="2"/>
        <v>1</v>
      </c>
      <c r="K15" s="161">
        <f t="shared" si="1"/>
        <v>0.6</v>
      </c>
    </row>
    <row r="16" spans="1:11" ht="15" customHeight="1" x14ac:dyDescent="0.25">
      <c r="A16" s="159" t="s">
        <v>159</v>
      </c>
      <c r="B16" s="159" t="s">
        <v>61</v>
      </c>
      <c r="C16" s="159" t="s">
        <v>62</v>
      </c>
      <c r="D16" s="159" t="s">
        <v>40</v>
      </c>
      <c r="E16" s="159" t="s">
        <v>160</v>
      </c>
      <c r="F16" s="159" t="str">
        <f>+VLOOKUP(A16,'Estado SCI'!$A$16:$I$59,9,0)</f>
        <v>Oportunidad de mejora</v>
      </c>
      <c r="G16" s="159">
        <f>+VLOOKUP(A16,'Estado SCI'!$A$16:$L$59,12,0)</f>
        <v>30.234500000000001</v>
      </c>
      <c r="H16" s="159">
        <f t="shared" si="0"/>
        <v>15</v>
      </c>
      <c r="I16" s="159" t="str">
        <f>+IF(VLOOKUP(A16,'Estado SCI'!$A$16:$G$59,7,0)="","",VLOOKUP(A16,'Estado SCI'!$A$16:$G$59,7,0))</f>
        <v>En proceso</v>
      </c>
      <c r="J16" s="160">
        <f t="shared" si="2"/>
        <v>0.5</v>
      </c>
      <c r="K16" s="161">
        <f t="shared" si="1"/>
        <v>0.6</v>
      </c>
    </row>
    <row r="17" spans="1:11" ht="15.75" customHeight="1" x14ac:dyDescent="0.25">
      <c r="A17" s="159" t="s">
        <v>161</v>
      </c>
      <c r="B17" s="159" t="s">
        <v>61</v>
      </c>
      <c r="C17" s="159" t="s">
        <v>62</v>
      </c>
      <c r="D17" s="159" t="s">
        <v>42</v>
      </c>
      <c r="E17" s="159" t="s">
        <v>66</v>
      </c>
      <c r="F17" s="159" t="str">
        <f>+VLOOKUP(A17,'Estado SCI'!$A$16:$I$59,9,0)</f>
        <v>Oportunidad de mejora</v>
      </c>
      <c r="G17" s="159">
        <f>+VLOOKUP(A17,'Estado SCI'!$A$16:$L$59,12,0)</f>
        <v>30.234559999999998</v>
      </c>
      <c r="H17" s="159">
        <f t="shared" si="0"/>
        <v>16</v>
      </c>
      <c r="I17" s="159" t="str">
        <f>+IF(VLOOKUP(A17,'Estado SCI'!$A$16:$G$59,7,0)="","",VLOOKUP(A17,'Estado SCI'!$A$16:$G$59,7,0))</f>
        <v>En proceso</v>
      </c>
      <c r="J17" s="160">
        <f t="shared" si="2"/>
        <v>0.5</v>
      </c>
      <c r="K17" s="161">
        <f t="shared" si="1"/>
        <v>0.6</v>
      </c>
    </row>
    <row r="18" spans="1:11" ht="15" customHeight="1" x14ac:dyDescent="0.25">
      <c r="A18" s="159" t="s">
        <v>162</v>
      </c>
      <c r="B18" s="159" t="s">
        <v>61</v>
      </c>
      <c r="C18" s="159" t="s">
        <v>80</v>
      </c>
      <c r="D18" s="159" t="s">
        <v>34</v>
      </c>
      <c r="E18" s="159" t="s">
        <v>69</v>
      </c>
      <c r="F18" s="159" t="str">
        <f>+VLOOKUP(A18,'Estado SCI'!$A$16:$I$59,9,0)</f>
        <v>Oportunidad de mejora</v>
      </c>
      <c r="G18" s="159">
        <f>+VLOOKUP(A18,'Estado SCI'!$A$16:$L$59,12,0)</f>
        <v>30.234566999999998</v>
      </c>
      <c r="H18" s="159">
        <f t="shared" si="0"/>
        <v>17</v>
      </c>
      <c r="I18" s="159" t="str">
        <f>+IF(VLOOKUP(A18,'Estado SCI'!$A$16:$G$59,7,0)="","",VLOOKUP(A18,'Estado SCI'!$A$16:$G$59,7,0))</f>
        <v>En proceso</v>
      </c>
      <c r="J18" s="160">
        <f t="shared" si="2"/>
        <v>0.5</v>
      </c>
      <c r="K18" s="161">
        <f t="shared" si="1"/>
        <v>0.6</v>
      </c>
    </row>
    <row r="19" spans="1:11" ht="15" customHeight="1" x14ac:dyDescent="0.25">
      <c r="A19" s="159" t="s">
        <v>163</v>
      </c>
      <c r="B19" s="159" t="s">
        <v>61</v>
      </c>
      <c r="C19" s="159" t="s">
        <v>80</v>
      </c>
      <c r="D19" s="159" t="s">
        <v>37</v>
      </c>
      <c r="E19" s="159" t="s">
        <v>70</v>
      </c>
      <c r="F19" s="159" t="str">
        <f>+VLOOKUP(A19,'Estado SCI'!$A$16:$I$59,9,0)</f>
        <v>Oportunidad de mejora</v>
      </c>
      <c r="G19" s="159">
        <f>+VLOOKUP(A19,'Estado SCI'!$A$16:$L$59,12,0)</f>
        <v>30.234567800000001</v>
      </c>
      <c r="H19" s="159">
        <f t="shared" si="0"/>
        <v>18</v>
      </c>
      <c r="I19" s="159" t="str">
        <f>+IF(VLOOKUP(A19,'Estado SCI'!$A$16:$G$59,7,0)="","",VLOOKUP(A19,'Estado SCI'!$A$16:$G$59,7,0))</f>
        <v>En proceso</v>
      </c>
      <c r="J19" s="160">
        <f t="shared" si="2"/>
        <v>0.5</v>
      </c>
      <c r="K19" s="161">
        <f t="shared" si="1"/>
        <v>0.6</v>
      </c>
    </row>
    <row r="20" spans="1:11" ht="15" customHeight="1" x14ac:dyDescent="0.25">
      <c r="A20" s="159" t="s">
        <v>164</v>
      </c>
      <c r="B20" s="159" t="s">
        <v>61</v>
      </c>
      <c r="C20" s="159" t="s">
        <v>80</v>
      </c>
      <c r="D20" s="159" t="s">
        <v>40</v>
      </c>
      <c r="E20" s="159" t="s">
        <v>71</v>
      </c>
      <c r="F20" s="159" t="str">
        <f>+VLOOKUP(A20,'Estado SCI'!$A$16:$I$59,9,0)</f>
        <v>Mantenimiento del control</v>
      </c>
      <c r="G20" s="159">
        <f>+VLOOKUP(A20,'Estado SCI'!$A$16:$L$59,12,0)</f>
        <v>40.234567890000001</v>
      </c>
      <c r="H20" s="159">
        <f t="shared" si="0"/>
        <v>21</v>
      </c>
      <c r="I20" s="159" t="str">
        <f>+IF(VLOOKUP(A20,'Estado SCI'!$A$16:$G$59,7,0)="","",VLOOKUP(A20,'Estado SCI'!$A$16:$G$59,7,0))</f>
        <v>Si</v>
      </c>
      <c r="J20" s="160">
        <f t="shared" si="2"/>
        <v>1</v>
      </c>
      <c r="K20" s="161">
        <f t="shared" si="1"/>
        <v>0.6</v>
      </c>
    </row>
    <row r="21" spans="1:11" ht="15.75" customHeight="1" x14ac:dyDescent="0.25">
      <c r="A21" s="159" t="s">
        <v>165</v>
      </c>
      <c r="B21" s="159" t="s">
        <v>61</v>
      </c>
      <c r="C21" s="159" t="s">
        <v>80</v>
      </c>
      <c r="D21" s="159" t="s">
        <v>34</v>
      </c>
      <c r="E21" s="159" t="s">
        <v>74</v>
      </c>
      <c r="F21" s="159" t="str">
        <f>+VLOOKUP(A21,'Estado SCI'!$A$16:$I$59,9,0)</f>
        <v>Mantenimiento del control</v>
      </c>
      <c r="G21" s="159">
        <f>+VLOOKUP(A21,'Estado SCI'!$A$16:$L$59,12,0)</f>
        <v>40.234567891200001</v>
      </c>
      <c r="H21" s="159">
        <f t="shared" si="0"/>
        <v>22</v>
      </c>
      <c r="I21" s="159" t="str">
        <f>+IF(VLOOKUP(A21,'Estado SCI'!$A$16:$G$59,7,0)="","",VLOOKUP(A21,'Estado SCI'!$A$16:$G$59,7,0))</f>
        <v>Si</v>
      </c>
      <c r="J21" s="160">
        <f t="shared" si="2"/>
        <v>1</v>
      </c>
      <c r="K21" s="161">
        <f t="shared" si="1"/>
        <v>0.6</v>
      </c>
    </row>
    <row r="22" spans="1:11" ht="15" customHeight="1" x14ac:dyDescent="0.25">
      <c r="A22" s="159" t="s">
        <v>166</v>
      </c>
      <c r="B22" s="159" t="s">
        <v>61</v>
      </c>
      <c r="C22" s="159" t="s">
        <v>88</v>
      </c>
      <c r="D22" s="159" t="s">
        <v>37</v>
      </c>
      <c r="E22" s="159" t="s">
        <v>75</v>
      </c>
      <c r="F22" s="159" t="str">
        <f>+VLOOKUP(A22,'Estado SCI'!$A$16:$I$59,9,0)</f>
        <v>Deficiencia de control</v>
      </c>
      <c r="G22" s="159">
        <f>+VLOOKUP(A22,'Estado SCI'!$A$16:$L$59,12,0)</f>
        <v>20.23456789123</v>
      </c>
      <c r="H22" s="159">
        <f t="shared" si="0"/>
        <v>13</v>
      </c>
      <c r="I22" s="159" t="str">
        <f>+IF(VLOOKUP(A22,'Estado SCI'!$A$16:$G$59,7,0)="","",VLOOKUP(A22,'Estado SCI'!$A$16:$G$59,7,0))</f>
        <v>No</v>
      </c>
      <c r="J22" s="160">
        <f t="shared" si="2"/>
        <v>0</v>
      </c>
      <c r="K22" s="161">
        <f t="shared" si="1"/>
        <v>0.6</v>
      </c>
    </row>
    <row r="23" spans="1:11" ht="15" customHeight="1" x14ac:dyDescent="0.25">
      <c r="A23" s="159" t="s">
        <v>167</v>
      </c>
      <c r="B23" s="159" t="s">
        <v>61</v>
      </c>
      <c r="C23" s="159" t="s">
        <v>88</v>
      </c>
      <c r="D23" s="159" t="s">
        <v>40</v>
      </c>
      <c r="E23" s="159" t="s">
        <v>77</v>
      </c>
      <c r="F23" s="159" t="str">
        <f>+VLOOKUP(A23,'Estado SCI'!$A$16:$I$59,9,0)</f>
        <v>Deficiencia de control</v>
      </c>
      <c r="G23" s="159">
        <f>+VLOOKUP(A23,'Estado SCI'!$A$16:$L$59,12,0)</f>
        <v>20.234567891234001</v>
      </c>
      <c r="H23" s="159">
        <f t="shared" si="0"/>
        <v>14</v>
      </c>
      <c r="I23" s="159" t="str">
        <f>+IF(VLOOKUP(A23,'Estado SCI'!$A$16:$G$59,7,0)="","",VLOOKUP(A23,'Estado SCI'!$A$16:$G$59,7,0))</f>
        <v>No</v>
      </c>
      <c r="J23" s="160">
        <f t="shared" si="2"/>
        <v>0</v>
      </c>
      <c r="K23" s="161">
        <f t="shared" si="1"/>
        <v>0.6</v>
      </c>
    </row>
    <row r="24" spans="1:11" ht="15" customHeight="1" x14ac:dyDescent="0.25">
      <c r="A24" s="159" t="s">
        <v>168</v>
      </c>
      <c r="B24" s="159" t="str">
        <f>+VLOOKUP(A24,'Estado SCI'!$A$16:$C$59,3,0)</f>
        <v>ACTIVIDADES DE CONTROL</v>
      </c>
      <c r="C24" s="159" t="s">
        <v>88</v>
      </c>
      <c r="D24" s="159" t="s">
        <v>34</v>
      </c>
      <c r="E24" s="159" t="s">
        <v>81</v>
      </c>
      <c r="F24" s="159" t="str">
        <f>+VLOOKUP(A24,'Estado SCI'!$A$16:$I$59,9,0)</f>
        <v>Mantenimiento del control</v>
      </c>
      <c r="G24" s="159">
        <f>+VLOOKUP(A24,'Estado SCI'!$A$16:$L$59,12,0)</f>
        <v>60.31</v>
      </c>
      <c r="H24" s="159">
        <f t="shared" si="0"/>
        <v>26</v>
      </c>
      <c r="I24" s="159" t="str">
        <f>+IF(VLOOKUP(A24,'Estado SCI'!$A$16:$G$59,7,0)="","",VLOOKUP(A24,'Estado SCI'!$A$16:$G$59,7,0))</f>
        <v>Si</v>
      </c>
      <c r="J24" s="160">
        <f t="shared" si="2"/>
        <v>1</v>
      </c>
      <c r="K24" s="161">
        <f t="shared" si="1"/>
        <v>0.7</v>
      </c>
    </row>
    <row r="25" spans="1:11" ht="15" customHeight="1" x14ac:dyDescent="0.25">
      <c r="A25" s="159" t="s">
        <v>169</v>
      </c>
      <c r="B25" s="159" t="s">
        <v>79</v>
      </c>
      <c r="C25" s="159" t="s">
        <v>88</v>
      </c>
      <c r="D25" s="159" t="s">
        <v>37</v>
      </c>
      <c r="E25" s="159" t="s">
        <v>82</v>
      </c>
      <c r="F25" s="159" t="str">
        <f>+VLOOKUP(A25,'Estado SCI'!$A$16:$I$59,9,0)</f>
        <v>Oportunidad de mejora</v>
      </c>
      <c r="G25" s="159">
        <f>+VLOOKUP(A25,'Estado SCI'!$A$16:$L$59,12,0)</f>
        <v>50.323</v>
      </c>
      <c r="H25" s="159">
        <f t="shared" si="0"/>
        <v>23</v>
      </c>
      <c r="I25" s="159" t="str">
        <f>+IF(VLOOKUP(A25,'Estado SCI'!$A$16:$G$59,7,0)="","",VLOOKUP(A25,'Estado SCI'!$A$16:$G$59,7,0))</f>
        <v>En proceso</v>
      </c>
      <c r="J25" s="160">
        <f t="shared" si="2"/>
        <v>0.5</v>
      </c>
      <c r="K25" s="161">
        <f t="shared" si="1"/>
        <v>0.7</v>
      </c>
    </row>
    <row r="26" spans="1:11" ht="15" customHeight="1" x14ac:dyDescent="0.25">
      <c r="A26" s="159" t="s">
        <v>170</v>
      </c>
      <c r="B26" s="159" t="s">
        <v>79</v>
      </c>
      <c r="C26" s="159" t="s">
        <v>88</v>
      </c>
      <c r="D26" s="159" t="s">
        <v>40</v>
      </c>
      <c r="E26" s="159" t="s">
        <v>83</v>
      </c>
      <c r="F26" s="159" t="str">
        <f>+VLOOKUP(A26,'Estado SCI'!$A$16:$I$59,9,0)</f>
        <v>Oportunidad de mejora</v>
      </c>
      <c r="G26" s="159">
        <f>+VLOOKUP(A26,'Estado SCI'!$A$16:$L$59,12,0)</f>
        <v>50.323999999999998</v>
      </c>
      <c r="H26" s="159">
        <f t="shared" si="0"/>
        <v>24</v>
      </c>
      <c r="I26" s="159" t="str">
        <f>+IF(VLOOKUP(A26,'Estado SCI'!$A$16:$G$59,7,0)="","",VLOOKUP(A26,'Estado SCI'!$A$16:$G$59,7,0))</f>
        <v>En proceso</v>
      </c>
      <c r="J26" s="160">
        <f t="shared" si="2"/>
        <v>0.5</v>
      </c>
      <c r="K26" s="161">
        <f t="shared" si="1"/>
        <v>0.7</v>
      </c>
    </row>
    <row r="27" spans="1:11" ht="15.75" customHeight="1" x14ac:dyDescent="0.25">
      <c r="A27" s="159" t="s">
        <v>171</v>
      </c>
      <c r="B27" s="159" t="s">
        <v>79</v>
      </c>
      <c r="C27" s="159" t="s">
        <v>88</v>
      </c>
      <c r="D27" s="159" t="s">
        <v>42</v>
      </c>
      <c r="E27" s="159" t="s">
        <v>84</v>
      </c>
      <c r="F27" s="159" t="str">
        <f>+VLOOKUP(A27,'Estado SCI'!$A$16:$I$59,9,0)</f>
        <v>Oportunidad de mejora</v>
      </c>
      <c r="G27" s="159">
        <f>+VLOOKUP(A27,'Estado SCI'!$A$16:$L$59,12,0)</f>
        <v>50.325000000000003</v>
      </c>
      <c r="H27" s="159">
        <f t="shared" si="0"/>
        <v>25</v>
      </c>
      <c r="I27" s="159" t="str">
        <f>+IF(VLOOKUP(A27,'Estado SCI'!$A$16:$G$59,7,0)="","",VLOOKUP(A27,'Estado SCI'!$A$16:$G$59,7,0))</f>
        <v>En proceso</v>
      </c>
      <c r="J27" s="160">
        <f t="shared" si="2"/>
        <v>0.5</v>
      </c>
      <c r="K27" s="161">
        <f t="shared" si="1"/>
        <v>0.7</v>
      </c>
    </row>
    <row r="28" spans="1:11" ht="15" customHeight="1" x14ac:dyDescent="0.25">
      <c r="A28" s="159" t="s">
        <v>172</v>
      </c>
      <c r="B28" s="159" t="s">
        <v>79</v>
      </c>
      <c r="C28" s="159" t="s">
        <v>98</v>
      </c>
      <c r="D28" s="159" t="s">
        <v>44</v>
      </c>
      <c r="E28" s="159" t="s">
        <v>85</v>
      </c>
      <c r="F28" s="159" t="str">
        <f>+VLOOKUP(A28,'Estado SCI'!$A$16:$I$59,9,0)</f>
        <v>Mantenimiento del control</v>
      </c>
      <c r="G28" s="159">
        <f>+VLOOKUP(A28,'Estado SCI'!$A$16:$L$59,12,0)</f>
        <v>60.326000000000001</v>
      </c>
      <c r="H28" s="159">
        <f t="shared" si="0"/>
        <v>27</v>
      </c>
      <c r="I28" s="159" t="str">
        <f>+IF(VLOOKUP(A28,'Estado SCI'!$A$16:$G$59,7,0)="","",VLOOKUP(A28,'Estado SCI'!$A$16:$G$59,7,0))</f>
        <v>Si</v>
      </c>
      <c r="J28" s="160">
        <f t="shared" si="2"/>
        <v>1</v>
      </c>
      <c r="K28" s="161">
        <f t="shared" si="1"/>
        <v>0.7</v>
      </c>
    </row>
    <row r="29" spans="1:11" ht="15" customHeight="1" x14ac:dyDescent="0.25">
      <c r="A29" s="159" t="s">
        <v>173</v>
      </c>
      <c r="B29" s="159" t="str">
        <f>+VLOOKUP(A29,'Estado SCI'!$A$16:$C$59,3,0)</f>
        <v>INFORMACION Y COMUNICACIÓN</v>
      </c>
      <c r="C29" s="159" t="s">
        <v>98</v>
      </c>
      <c r="D29" s="159" t="s">
        <v>34</v>
      </c>
      <c r="E29" s="159" t="s">
        <v>89</v>
      </c>
      <c r="F29" s="159" t="str">
        <f>+VLOOKUP(A29,'Estado SCI'!$A$16:$I$59,9,0)</f>
        <v>Mantenimiento del control</v>
      </c>
      <c r="G29" s="159">
        <f>+VLOOKUP(A29,'Estado SCI'!$A$16:$L$59,12,0)</f>
        <v>80.412000000000006</v>
      </c>
      <c r="H29" s="159">
        <f t="shared" si="0"/>
        <v>28</v>
      </c>
      <c r="I29" s="159" t="str">
        <f>+IF(VLOOKUP(A29,'Estado SCI'!$A$16:$G$59,7,0)="","",VLOOKUP(A29,'Estado SCI'!$A$16:$G$59,7,0))</f>
        <v>Si</v>
      </c>
      <c r="J29" s="160">
        <f t="shared" si="2"/>
        <v>1</v>
      </c>
      <c r="K29" s="161">
        <f t="shared" si="1"/>
        <v>1</v>
      </c>
    </row>
    <row r="30" spans="1:11" ht="15" customHeight="1" x14ac:dyDescent="0.25">
      <c r="A30" s="159" t="s">
        <v>174</v>
      </c>
      <c r="B30" s="159" t="s">
        <v>87</v>
      </c>
      <c r="C30" s="159" t="s">
        <v>98</v>
      </c>
      <c r="D30" s="159" t="s">
        <v>37</v>
      </c>
      <c r="E30" s="159" t="s">
        <v>90</v>
      </c>
      <c r="F30" s="159" t="str">
        <f>+VLOOKUP(A30,'Estado SCI'!$A$16:$I$59,9,0)</f>
        <v>Mantenimiento del control</v>
      </c>
      <c r="G30" s="159">
        <f>+VLOOKUP(A30,'Estado SCI'!$A$16:$L$59,12,0)</f>
        <v>80.412300000000002</v>
      </c>
      <c r="H30" s="159">
        <f t="shared" si="0"/>
        <v>29</v>
      </c>
      <c r="I30" s="159" t="str">
        <f>+IF(VLOOKUP(A30,'Estado SCI'!$A$16:$G$59,7,0)="","",VLOOKUP(A30,'Estado SCI'!$A$16:$G$59,7,0))</f>
        <v>Si</v>
      </c>
      <c r="J30" s="160">
        <f t="shared" si="2"/>
        <v>1</v>
      </c>
      <c r="K30" s="161">
        <f t="shared" si="1"/>
        <v>1</v>
      </c>
    </row>
    <row r="31" spans="1:11" ht="15.75" customHeight="1" x14ac:dyDescent="0.25">
      <c r="A31" s="159" t="s">
        <v>175</v>
      </c>
      <c r="B31" s="159" t="s">
        <v>87</v>
      </c>
      <c r="C31" s="159" t="s">
        <v>98</v>
      </c>
      <c r="D31" s="159" t="s">
        <v>40</v>
      </c>
      <c r="E31" s="159" t="s">
        <v>91</v>
      </c>
      <c r="F31" s="159" t="str">
        <f>+VLOOKUP(A31,'Estado SCI'!$A$16:$I$59,9,0)</f>
        <v>Mantenimiento del control</v>
      </c>
      <c r="G31" s="159">
        <f>+VLOOKUP(A31,'Estado SCI'!$A$16:$L$59,12,0)</f>
        <v>80.41234</v>
      </c>
      <c r="H31" s="159">
        <f t="shared" si="0"/>
        <v>30</v>
      </c>
      <c r="I31" s="159" t="str">
        <f>+IF(VLOOKUP(A31,'Estado SCI'!$A$16:$G$59,7,0)="","",VLOOKUP(A31,'Estado SCI'!$A$16:$G$59,7,0))</f>
        <v>Si</v>
      </c>
      <c r="J31" s="160">
        <f t="shared" si="2"/>
        <v>1</v>
      </c>
      <c r="K31" s="161">
        <f t="shared" si="1"/>
        <v>1</v>
      </c>
    </row>
    <row r="32" spans="1:11" x14ac:dyDescent="0.25">
      <c r="A32" s="159" t="s">
        <v>176</v>
      </c>
      <c r="B32" s="159" t="s">
        <v>87</v>
      </c>
      <c r="C32" s="159" t="s">
        <v>104</v>
      </c>
      <c r="D32" s="159" t="s">
        <v>42</v>
      </c>
      <c r="E32" s="159" t="s">
        <v>92</v>
      </c>
      <c r="F32" s="159" t="str">
        <f>+VLOOKUP(A32,'Estado SCI'!$A$16:$I$59,9,0)</f>
        <v>Mantenimiento del control</v>
      </c>
      <c r="G32" s="159">
        <f>+VLOOKUP(A32,'Estado SCI'!$A$16:$L$59,12,0)</f>
        <v>80.412345000000002</v>
      </c>
      <c r="H32" s="159">
        <f t="shared" si="0"/>
        <v>31</v>
      </c>
      <c r="I32" s="159" t="str">
        <f>+IF(VLOOKUP(A32,'Estado SCI'!$A$16:$G$59,7,0)="","",VLOOKUP(A32,'Estado SCI'!$A$16:$G$59,7,0))</f>
        <v>Si</v>
      </c>
      <c r="J32" s="160">
        <f t="shared" si="2"/>
        <v>1</v>
      </c>
      <c r="K32" s="161">
        <f t="shared" si="1"/>
        <v>1</v>
      </c>
    </row>
    <row r="33" spans="1:11" x14ac:dyDescent="0.25">
      <c r="A33" s="159" t="s">
        <v>177</v>
      </c>
      <c r="B33" s="159" t="s">
        <v>87</v>
      </c>
      <c r="C33" s="159" t="s">
        <v>178</v>
      </c>
      <c r="D33" s="159" t="s">
        <v>44</v>
      </c>
      <c r="E33" s="159" t="s">
        <v>93</v>
      </c>
      <c r="F33" s="159" t="str">
        <f>+VLOOKUP(A33,'Estado SCI'!$A$16:$I$59,9,0)</f>
        <v>Mantenimiento del control</v>
      </c>
      <c r="G33" s="159">
        <f>+VLOOKUP(A33,'Estado SCI'!$A$16:$L$59,12,0)</f>
        <v>80.412345599999995</v>
      </c>
      <c r="H33" s="159">
        <f t="shared" si="0"/>
        <v>32</v>
      </c>
      <c r="I33" s="159" t="str">
        <f>+IF(VLOOKUP(A33,'Estado SCI'!$A$16:$G$59,7,0)="","",VLOOKUP(A33,'Estado SCI'!$A$16:$G$59,7,0))</f>
        <v>Si</v>
      </c>
      <c r="J33" s="160">
        <f t="shared" si="2"/>
        <v>1</v>
      </c>
      <c r="K33" s="161">
        <f t="shared" si="1"/>
        <v>1</v>
      </c>
    </row>
    <row r="34" spans="1:11" x14ac:dyDescent="0.25">
      <c r="A34" s="159" t="s">
        <v>179</v>
      </c>
      <c r="B34" s="159" t="s">
        <v>87</v>
      </c>
      <c r="C34" s="159" t="s">
        <v>178</v>
      </c>
      <c r="D34" s="159" t="s">
        <v>46</v>
      </c>
      <c r="E34" s="159" t="s">
        <v>94</v>
      </c>
      <c r="F34" s="159" t="str">
        <f>+VLOOKUP(A34,'Estado SCI'!$A$16:$I$59,9,0)</f>
        <v>Mantenimiento del control</v>
      </c>
      <c r="G34" s="159">
        <f>+VLOOKUP(A34,'Estado SCI'!$A$16:$L$59,12,0)</f>
        <v>80.412345669999993</v>
      </c>
      <c r="H34" s="159">
        <f t="shared" si="0"/>
        <v>33</v>
      </c>
      <c r="I34" s="159" t="str">
        <f>+IF(VLOOKUP(A34,'Estado SCI'!$A$16:$G$59,7,0)="","",VLOOKUP(A34,'Estado SCI'!$A$16:$G$59,7,0))</f>
        <v>Si</v>
      </c>
      <c r="J34" s="160">
        <f t="shared" si="2"/>
        <v>1</v>
      </c>
      <c r="K34" s="161">
        <f t="shared" si="1"/>
        <v>1</v>
      </c>
    </row>
    <row r="35" spans="1:11" x14ac:dyDescent="0.25">
      <c r="A35" s="159" t="s">
        <v>180</v>
      </c>
      <c r="B35" s="159" t="s">
        <v>87</v>
      </c>
      <c r="C35" s="159" t="s">
        <v>178</v>
      </c>
      <c r="D35" s="159" t="s">
        <v>48</v>
      </c>
      <c r="E35" s="159" t="s">
        <v>95</v>
      </c>
      <c r="F35" s="159" t="str">
        <f>+VLOOKUP(A35,'Estado SCI'!$A$16:$I$59,9,0)</f>
        <v>Mantenimiento del control</v>
      </c>
      <c r="G35" s="159">
        <f>+VLOOKUP(A35,'Estado SCI'!$A$16:$L$59,12,0)</f>
        <v>80.412345677999994</v>
      </c>
      <c r="H35" s="159">
        <f t="shared" si="0"/>
        <v>34</v>
      </c>
      <c r="I35" s="159" t="str">
        <f>+IF(VLOOKUP(A35,'Estado SCI'!$A$16:$G$59,7,0)="","",VLOOKUP(A35,'Estado SCI'!$A$16:$G$59,7,0))</f>
        <v>Si</v>
      </c>
      <c r="J35" s="160">
        <f t="shared" si="2"/>
        <v>1</v>
      </c>
      <c r="K35" s="161">
        <f t="shared" si="1"/>
        <v>1</v>
      </c>
    </row>
    <row r="36" spans="1:11" x14ac:dyDescent="0.25">
      <c r="A36" s="159" t="s">
        <v>181</v>
      </c>
      <c r="B36" s="159" t="str">
        <f>+VLOOKUP(A36,'Estado SCI'!$A$16:$C$59,3,0)</f>
        <v>ACTIVIDADES DE MONITOREO</v>
      </c>
      <c r="C36" s="159" t="s">
        <v>178</v>
      </c>
      <c r="D36" s="159" t="s">
        <v>34</v>
      </c>
      <c r="E36" s="159" t="s">
        <v>99</v>
      </c>
      <c r="F36" s="159" t="str">
        <f>+VLOOKUP(A36,'Estado SCI'!$A$16:$I$59,9,0)</f>
        <v>Oportunidad de mejora</v>
      </c>
      <c r="G36" s="159">
        <f>+VLOOKUP(A36,'Estado SCI'!$A$16:$L$59,12,0)</f>
        <v>100.851</v>
      </c>
      <c r="H36" s="159">
        <f t="shared" si="0"/>
        <v>37</v>
      </c>
      <c r="I36" s="159" t="str">
        <f>+IF(VLOOKUP(A36,'Estado SCI'!$A$16:$G$59,7,0)="","",VLOOKUP(A36,'Estado SCI'!$A$16:$G$59,7,0))</f>
        <v>En proceso</v>
      </c>
      <c r="J36" s="160">
        <f t="shared" si="2"/>
        <v>0.5</v>
      </c>
      <c r="K36" s="161">
        <f t="shared" si="1"/>
        <v>0.6</v>
      </c>
    </row>
    <row r="37" spans="1:11" x14ac:dyDescent="0.25">
      <c r="A37" s="159" t="s">
        <v>182</v>
      </c>
      <c r="B37" s="159" t="s">
        <v>97</v>
      </c>
      <c r="C37" s="159" t="s">
        <v>178</v>
      </c>
      <c r="D37" s="159" t="s">
        <v>42</v>
      </c>
      <c r="E37" s="159" t="s">
        <v>100</v>
      </c>
      <c r="F37" s="159" t="str">
        <f>+VLOOKUP(A37,'Estado SCI'!$A$16:$I$59,9,0)</f>
        <v>Deficiencia de control</v>
      </c>
      <c r="G37" s="159">
        <f>+VLOOKUP(A37,'Estado SCI'!$A$16:$L$59,12,0)</f>
        <v>80.851200000000006</v>
      </c>
      <c r="H37" s="159">
        <f t="shared" si="0"/>
        <v>35</v>
      </c>
      <c r="I37" s="159" t="str">
        <f>+IF(VLOOKUP(A37,'Estado SCI'!$A$16:$G$59,7,0)="","",VLOOKUP(A37,'Estado SCI'!$A$16:$G$59,7,0))</f>
        <v>No</v>
      </c>
      <c r="J37" s="160">
        <f t="shared" si="2"/>
        <v>0</v>
      </c>
      <c r="K37" s="161">
        <f t="shared" si="1"/>
        <v>0.6</v>
      </c>
    </row>
    <row r="38" spans="1:11" x14ac:dyDescent="0.25">
      <c r="A38" s="159" t="s">
        <v>183</v>
      </c>
      <c r="B38" s="159" t="s">
        <v>97</v>
      </c>
      <c r="C38" s="159" t="s">
        <v>68</v>
      </c>
      <c r="D38" s="159" t="s">
        <v>46</v>
      </c>
      <c r="E38" s="159" t="s">
        <v>101</v>
      </c>
      <c r="F38" s="159" t="str">
        <f>+VLOOKUP(A38,'Estado SCI'!$A$16:$I$59,9,0)</f>
        <v>Oportunidad de mejora</v>
      </c>
      <c r="G38" s="159">
        <f>+VLOOKUP(A38,'Estado SCI'!$A$16:$L$59,12,0)</f>
        <v>100.85123</v>
      </c>
      <c r="H38" s="159">
        <f t="shared" si="0"/>
        <v>38</v>
      </c>
      <c r="I38" s="159" t="str">
        <f>+IF(VLOOKUP(A38,'Estado SCI'!$A$16:$G$59,7,0)="","",VLOOKUP(A38,'Estado SCI'!$A$16:$G$59,7,0))</f>
        <v>En proceso</v>
      </c>
      <c r="J38" s="160">
        <f t="shared" si="2"/>
        <v>0.5</v>
      </c>
      <c r="K38" s="161">
        <f t="shared" si="1"/>
        <v>0.6</v>
      </c>
    </row>
    <row r="39" spans="1:11" x14ac:dyDescent="0.25">
      <c r="A39" s="159" t="s">
        <v>184</v>
      </c>
      <c r="B39" s="159" t="s">
        <v>97</v>
      </c>
      <c r="C39" s="159" t="s">
        <v>68</v>
      </c>
      <c r="D39" s="159" t="s">
        <v>48</v>
      </c>
      <c r="E39" s="159" t="s">
        <v>102</v>
      </c>
      <c r="F39" s="159" t="str">
        <f>+VLOOKUP(A39,'Estado SCI'!$A$16:$I$59,9,0)</f>
        <v>Mantenimiento del control</v>
      </c>
      <c r="G39" s="159">
        <f>+VLOOKUP(A39,'Estado SCI'!$A$16:$L$59,12,0)</f>
        <v>120.85123400000001</v>
      </c>
      <c r="H39" s="159">
        <f t="shared" si="0"/>
        <v>41</v>
      </c>
      <c r="I39" s="159" t="str">
        <f>+IF(VLOOKUP(A39,'Estado SCI'!$A$16:$G$59,7,0)="","",VLOOKUP(A39,'Estado SCI'!$A$16:$G$59,7,0))</f>
        <v>Si</v>
      </c>
      <c r="J39" s="160">
        <f t="shared" si="2"/>
        <v>1</v>
      </c>
      <c r="K39" s="161">
        <f t="shared" si="1"/>
        <v>0.6</v>
      </c>
    </row>
    <row r="40" spans="1:11" x14ac:dyDescent="0.25">
      <c r="A40" s="159" t="s">
        <v>185</v>
      </c>
      <c r="B40" s="159" t="s">
        <v>97</v>
      </c>
      <c r="C40" s="159" t="s">
        <v>68</v>
      </c>
      <c r="D40" s="159" t="s">
        <v>50</v>
      </c>
      <c r="E40" s="159" t="s">
        <v>105</v>
      </c>
      <c r="F40" s="159" t="str">
        <f>+VLOOKUP(A40,'Estado SCI'!$A$16:$I$59,9,0)</f>
        <v>Deficiencia de control</v>
      </c>
      <c r="G40" s="159">
        <f>+VLOOKUP(A40,'Estado SCI'!$A$16:$L$59,12,0)</f>
        <v>80.851234500000004</v>
      </c>
      <c r="H40" s="159">
        <f t="shared" si="0"/>
        <v>36</v>
      </c>
      <c r="I40" s="159" t="str">
        <f>+IF(VLOOKUP(A40,'Estado SCI'!$A$16:$G$59,7,0)="","",VLOOKUP(A40,'Estado SCI'!$A$16:$G$59,7,0))</f>
        <v>No</v>
      </c>
      <c r="J40" s="160">
        <f t="shared" si="2"/>
        <v>0</v>
      </c>
      <c r="K40" s="161">
        <f t="shared" si="1"/>
        <v>0.6</v>
      </c>
    </row>
    <row r="41" spans="1:11" x14ac:dyDescent="0.25">
      <c r="A41" s="159" t="s">
        <v>186</v>
      </c>
      <c r="B41" s="159" t="s">
        <v>97</v>
      </c>
      <c r="C41" s="159" t="s">
        <v>68</v>
      </c>
      <c r="D41" s="159" t="s">
        <v>34</v>
      </c>
      <c r="E41" s="159" t="s">
        <v>108</v>
      </c>
      <c r="F41" s="159" t="str">
        <f>+VLOOKUP(A41,'Estado SCI'!$A$16:$I$59,9,0)</f>
        <v>Mantenimiento del control</v>
      </c>
      <c r="G41" s="159">
        <f>+VLOOKUP(A41,'Estado SCI'!$A$16:$L$59,12,0)</f>
        <v>120.85123455999999</v>
      </c>
      <c r="H41" s="159">
        <f t="shared" si="0"/>
        <v>42</v>
      </c>
      <c r="I41" s="159" t="str">
        <f>+IF(VLOOKUP(A41,'Estado SCI'!$A$16:$G$59,7,0)="","",VLOOKUP(A41,'Estado SCI'!$A$16:$G$59,7,0))</f>
        <v>Si</v>
      </c>
      <c r="J41" s="160">
        <f t="shared" si="2"/>
        <v>1</v>
      </c>
      <c r="K41" s="161">
        <f t="shared" si="1"/>
        <v>0.6</v>
      </c>
    </row>
    <row r="42" spans="1:11" x14ac:dyDescent="0.25">
      <c r="A42" s="159" t="s">
        <v>187</v>
      </c>
      <c r="B42" s="159" t="s">
        <v>97</v>
      </c>
      <c r="C42" s="159" t="s">
        <v>73</v>
      </c>
      <c r="D42" s="159" t="s">
        <v>37</v>
      </c>
      <c r="E42" s="159" t="s">
        <v>109</v>
      </c>
      <c r="F42" s="159" t="str">
        <f>+VLOOKUP(A42,'Estado SCI'!$A$16:$I$59,9,0)</f>
        <v>Mantenimiento del control</v>
      </c>
      <c r="G42" s="159">
        <f>+VLOOKUP(A42,'Estado SCI'!$A$16:$L$59,12,0)</f>
        <v>120.85123456700001</v>
      </c>
      <c r="H42" s="159">
        <f t="shared" si="0"/>
        <v>43</v>
      </c>
      <c r="I42" s="159" t="str">
        <f>+IF(VLOOKUP(A42,'Estado SCI'!$A$16:$G$59,7,0)="","",VLOOKUP(A42,'Estado SCI'!$A$16:$G$59,7,0))</f>
        <v>Si</v>
      </c>
      <c r="J42" s="160">
        <f t="shared" si="2"/>
        <v>1</v>
      </c>
      <c r="K42" s="161">
        <f t="shared" si="1"/>
        <v>0.6</v>
      </c>
    </row>
    <row r="43" spans="1:11" x14ac:dyDescent="0.25">
      <c r="A43" s="159" t="s">
        <v>188</v>
      </c>
      <c r="B43" s="159" t="s">
        <v>97</v>
      </c>
      <c r="C43" s="159" t="s">
        <v>73</v>
      </c>
      <c r="D43" s="159" t="s">
        <v>40</v>
      </c>
      <c r="E43" s="159" t="s">
        <v>110</v>
      </c>
      <c r="F43" s="159" t="str">
        <f>+VLOOKUP(A43,'Estado SCI'!$A$16:$I$59,9,0)</f>
        <v>Oportunidad de mejora</v>
      </c>
      <c r="G43" s="159">
        <f>+VLOOKUP(A43,'Estado SCI'!$A$16:$L$59,12,0)</f>
        <v>100.85123456780001</v>
      </c>
      <c r="H43" s="159">
        <f t="shared" si="0"/>
        <v>39</v>
      </c>
      <c r="I43" s="159" t="str">
        <f>+IF(VLOOKUP(A43,'Estado SCI'!$A$16:$G$59,7,0)="","",VLOOKUP(A43,'Estado SCI'!$A$16:$G$59,7,0))</f>
        <v>En proceso</v>
      </c>
      <c r="J43" s="160">
        <f t="shared" si="2"/>
        <v>0.5</v>
      </c>
      <c r="K43" s="161">
        <f t="shared" si="1"/>
        <v>0.6</v>
      </c>
    </row>
    <row r="44" spans="1:11" x14ac:dyDescent="0.25">
      <c r="A44" s="159" t="s">
        <v>189</v>
      </c>
      <c r="B44" s="159" t="s">
        <v>97</v>
      </c>
      <c r="C44" s="159" t="s">
        <v>73</v>
      </c>
      <c r="D44" s="159" t="s">
        <v>42</v>
      </c>
      <c r="E44" s="159" t="s">
        <v>111</v>
      </c>
      <c r="F44" s="159" t="str">
        <f>+VLOOKUP(A44,'Estado SCI'!$A$16:$I$59,9,0)</f>
        <v>Oportunidad de mejora</v>
      </c>
      <c r="G44" s="159">
        <f>+VLOOKUP(A44,'Estado SCI'!$A$16:$L$59,12,0)</f>
        <v>100.85123456789</v>
      </c>
      <c r="H44" s="159">
        <f t="shared" si="0"/>
        <v>40</v>
      </c>
      <c r="I44" s="159" t="str">
        <f>+IF(VLOOKUP(A44,'Estado SCI'!$A$16:$G$59,7,0)="","",VLOOKUP(A44,'Estado SCI'!$A$16:$G$59,7,0))</f>
        <v>En proceso</v>
      </c>
      <c r="J44" s="160">
        <f t="shared" si="2"/>
        <v>0.5</v>
      </c>
      <c r="K44" s="161">
        <f t="shared" si="1"/>
        <v>0.6</v>
      </c>
    </row>
    <row r="45" spans="1:11" x14ac:dyDescent="0.25">
      <c r="A45" s="159" t="s">
        <v>190</v>
      </c>
      <c r="B45" s="159" t="s">
        <v>97</v>
      </c>
      <c r="C45" s="159" t="s">
        <v>73</v>
      </c>
      <c r="D45" s="159" t="s">
        <v>44</v>
      </c>
      <c r="E45" s="159" t="s">
        <v>112</v>
      </c>
      <c r="F45" s="159" t="str">
        <f>+VLOOKUP(A45,'Estado SCI'!$A$16:$I$59,9,0)</f>
        <v>Mantenimiento del control</v>
      </c>
      <c r="G45" s="159">
        <f>+VLOOKUP(A45,'Estado SCI'!$A$16:$L$59,12,0)</f>
        <v>120.851234567891</v>
      </c>
      <c r="H45" s="159">
        <f t="shared" si="0"/>
        <v>44</v>
      </c>
      <c r="I45" s="159" t="str">
        <f>+IF(VLOOKUP(A45,'Estado SCI'!$A$16:$G$59,7,0)="","",VLOOKUP(A45,'Estado SCI'!$A$16:$G$59,7,0))</f>
        <v>Si</v>
      </c>
      <c r="J45" s="160">
        <f t="shared" si="2"/>
        <v>1</v>
      </c>
      <c r="K45" s="161">
        <f t="shared" si="1"/>
        <v>0.6</v>
      </c>
    </row>
  </sheetData>
  <sheetProtection algorithmName="SHA-512" hashValue="eXgkKlTi9xJKAI7t6Aeb2RaFpkfyF43pI2BIhtxDc7hsl0SqLK8I4Wc7jbZwC5kw3uyIHOBIUXRnh5cC70LKYA==" saltValue="AxKzX6Ar80vT7acQV8rFpQ==" spinCount="100000" sheet="1" objects="1" scenarios="1" selectLockedCells="1"/>
  <autoFilter ref="A1:K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MAGDALENA PALACIO</cp:lastModifiedBy>
  <cp:revision/>
  <dcterms:created xsi:type="dcterms:W3CDTF">2020-04-28T13:58:09Z</dcterms:created>
  <dcterms:modified xsi:type="dcterms:W3CDTF">2021-07-19T20:40:46Z</dcterms:modified>
  <cp:category/>
  <cp:contentStatus/>
</cp:coreProperties>
</file>